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/>
  <bookViews>
    <workbookView xWindow="120" yWindow="75" windowWidth="15135" windowHeight="8535"/>
  </bookViews>
  <sheets>
    <sheet name="fluxo_calor" sheetId="1" r:id="rId1"/>
    <sheet name="dados_horários" sheetId="4" r:id="rId2"/>
    <sheet name="dados_auxiliares" sheetId="2" r:id="rId3"/>
  </sheets>
  <definedNames>
    <definedName name="grafico">dados_horários!$A$34:$H$59</definedName>
  </definedNames>
  <calcPr calcId="124519"/>
  <customWorkbookViews>
    <customWorkbookView name="grafico" guid="{140AB78D-3863-467F-9660-B6D433C26E11}" maximized="1" windowWidth="1148" windowHeight="661" activeSheetId="4"/>
  </customWorkbookViews>
</workbook>
</file>

<file path=xl/calcChain.xml><?xml version="1.0" encoding="utf-8"?>
<calcChain xmlns="http://schemas.openxmlformats.org/spreadsheetml/2006/main">
  <c r="B19" i="1"/>
  <c r="B10" i="4"/>
  <c r="G10" s="1"/>
  <c r="B20" i="1"/>
  <c r="B21"/>
  <c r="B22"/>
  <c r="B11" i="4"/>
  <c r="I11" s="1"/>
  <c r="B12"/>
  <c r="H12" s="1"/>
  <c r="B13"/>
  <c r="K13" s="1"/>
  <c r="B14"/>
  <c r="C14" s="1"/>
  <c r="B15"/>
  <c r="G15" s="1"/>
  <c r="B16"/>
  <c r="K16" s="1"/>
  <c r="B17"/>
  <c r="J17" s="1"/>
  <c r="B18"/>
  <c r="D18" s="1"/>
  <c r="B19"/>
  <c r="E19" s="1"/>
  <c r="B20"/>
  <c r="K20" s="1"/>
  <c r="B21"/>
  <c r="E21" s="1"/>
  <c r="B22"/>
  <c r="H22" s="1"/>
  <c r="B23"/>
  <c r="G23" s="1"/>
  <c r="B24"/>
  <c r="I24" s="1"/>
  <c r="B25"/>
  <c r="E25" s="1"/>
  <c r="B26"/>
  <c r="H26" s="1"/>
  <c r="B27"/>
  <c r="H27" s="1"/>
  <c r="B28"/>
  <c r="I28" s="1"/>
  <c r="B29"/>
  <c r="J29" s="1"/>
  <c r="B30"/>
  <c r="G30" s="1"/>
  <c r="B31"/>
  <c r="G31" s="1"/>
  <c r="B32"/>
  <c r="I32" s="1"/>
  <c r="B9"/>
  <c r="I9" s="1"/>
  <c r="B18" i="1"/>
  <c r="C20" i="4"/>
  <c r="E26" i="1"/>
  <c r="E29"/>
  <c r="E28"/>
  <c r="E27"/>
  <c r="E21"/>
  <c r="E19"/>
  <c r="E15" i="4"/>
  <c r="G28"/>
  <c r="G20"/>
  <c r="H19"/>
  <c r="G32"/>
  <c r="H32"/>
  <c r="H24"/>
  <c r="E24"/>
  <c r="I20"/>
  <c r="K9"/>
  <c r="K29"/>
  <c r="C29"/>
  <c r="C21"/>
  <c r="D29"/>
  <c r="F20"/>
  <c r="F12"/>
  <c r="J10"/>
  <c r="I29"/>
  <c r="I25"/>
  <c r="K18"/>
  <c r="C26"/>
  <c r="F25"/>
  <c r="E10"/>
  <c r="G29"/>
  <c r="G25"/>
  <c r="I30"/>
  <c r="I18"/>
  <c r="K31"/>
  <c r="K19"/>
  <c r="E22" i="1"/>
  <c r="E18"/>
  <c r="J32" i="4"/>
  <c r="H29"/>
  <c r="J28"/>
  <c r="H25"/>
  <c r="J20"/>
  <c r="D19"/>
  <c r="J15" l="1"/>
  <c r="G19"/>
  <c r="K10"/>
  <c r="C19"/>
  <c r="K15"/>
  <c r="E22"/>
  <c r="H11"/>
  <c r="I19"/>
  <c r="F19"/>
  <c r="D15"/>
  <c r="C15"/>
  <c r="K11"/>
  <c r="I10"/>
  <c r="J19"/>
  <c r="F29"/>
  <c r="B24" i="1"/>
  <c r="G10" s="1"/>
  <c r="F32" i="4"/>
  <c r="F17"/>
  <c r="F10"/>
  <c r="F28"/>
  <c r="F18"/>
  <c r="E20" i="1"/>
  <c r="D26" i="4"/>
  <c r="C22"/>
  <c r="K30"/>
  <c r="C12"/>
  <c r="I22"/>
  <c r="E26"/>
  <c r="I12"/>
  <c r="C31"/>
  <c r="J31"/>
  <c r="K22"/>
  <c r="J26"/>
  <c r="J12"/>
  <c r="D22"/>
  <c r="D30"/>
  <c r="I16"/>
  <c r="D16"/>
  <c r="G12"/>
  <c r="D12"/>
  <c r="J24"/>
  <c r="F30"/>
  <c r="C27"/>
  <c r="F16"/>
  <c r="C9"/>
  <c r="H16"/>
  <c r="F9"/>
  <c r="E9"/>
  <c r="H30"/>
  <c r="I27"/>
  <c r="G14"/>
  <c r="D11"/>
  <c r="H17"/>
  <c r="H21"/>
  <c r="K27"/>
  <c r="G21"/>
  <c r="E30"/>
  <c r="J11"/>
  <c r="F21"/>
  <c r="J27"/>
  <c r="C10"/>
  <c r="I21"/>
  <c r="D9"/>
  <c r="J14"/>
  <c r="D25"/>
  <c r="J30"/>
  <c r="K25"/>
  <c r="G11"/>
  <c r="C16"/>
  <c r="G24"/>
  <c r="H10"/>
  <c r="D24"/>
  <c r="C24"/>
  <c r="J25"/>
  <c r="F14"/>
  <c r="J16"/>
  <c r="I14"/>
  <c r="H9"/>
  <c r="G9"/>
  <c r="C30"/>
  <c r="J9"/>
  <c r="D21"/>
  <c r="C25"/>
  <c r="K21"/>
  <c r="E16"/>
  <c r="G16"/>
  <c r="E11"/>
  <c r="C11"/>
  <c r="I23"/>
  <c r="H20"/>
  <c r="H15"/>
  <c r="H28"/>
  <c r="F15"/>
  <c r="E23" i="1"/>
  <c r="E29" i="4"/>
  <c r="K28"/>
  <c r="J21"/>
  <c r="G18"/>
  <c r="C28"/>
  <c r="D28"/>
  <c r="K24"/>
  <c r="D20"/>
  <c r="I15"/>
  <c r="F11"/>
  <c r="D10"/>
  <c r="E28"/>
  <c r="G13"/>
  <c r="I13"/>
  <c r="D23"/>
  <c r="D27"/>
  <c r="D31"/>
  <c r="C23"/>
  <c r="K23"/>
  <c r="E14"/>
  <c r="D14"/>
  <c r="C18"/>
  <c r="K14"/>
  <c r="D13"/>
  <c r="J18"/>
  <c r="F24"/>
  <c r="C17"/>
  <c r="E32"/>
  <c r="C32"/>
  <c r="D32"/>
  <c r="E23"/>
  <c r="K32"/>
  <c r="I31"/>
  <c r="F27"/>
  <c r="G26"/>
  <c r="F23"/>
  <c r="G22"/>
  <c r="H18"/>
  <c r="E17"/>
  <c r="H14"/>
  <c r="E13"/>
  <c r="E20"/>
  <c r="E30" i="1"/>
  <c r="F22" i="4"/>
  <c r="F26"/>
  <c r="I26"/>
  <c r="G17"/>
  <c r="E18"/>
  <c r="F13"/>
  <c r="J23"/>
  <c r="K26"/>
  <c r="I17"/>
  <c r="D17"/>
  <c r="J22"/>
  <c r="C13"/>
  <c r="K17"/>
  <c r="G27"/>
  <c r="E27"/>
  <c r="E31"/>
  <c r="F31"/>
  <c r="H23"/>
  <c r="J13"/>
  <c r="K12"/>
  <c r="E12"/>
  <c r="H13"/>
  <c r="H31"/>
  <c r="E32" i="1" l="1"/>
  <c r="F18" s="1"/>
  <c r="F26" l="1"/>
  <c r="F29"/>
  <c r="F21"/>
  <c r="F28"/>
  <c r="F27"/>
  <c r="F22"/>
  <c r="F20"/>
  <c r="F19"/>
  <c r="F32" l="1"/>
</calcChain>
</file>

<file path=xl/sharedStrings.xml><?xml version="1.0" encoding="utf-8"?>
<sst xmlns="http://schemas.openxmlformats.org/spreadsheetml/2006/main" count="98" uniqueCount="75">
  <si>
    <t>Comprimento</t>
  </si>
  <si>
    <t>Largura</t>
  </si>
  <si>
    <t>Pé-direito</t>
  </si>
  <si>
    <t>Cobertura</t>
  </si>
  <si>
    <t>Área</t>
  </si>
  <si>
    <t>Tint</t>
  </si>
  <si>
    <t>a</t>
  </si>
  <si>
    <t>Parede Norte</t>
  </si>
  <si>
    <t>Parede Leste</t>
  </si>
  <si>
    <t>Parede Sul</t>
  </si>
  <si>
    <t>Parede Oeste</t>
  </si>
  <si>
    <t>TOTAL</t>
  </si>
  <si>
    <t>U (W/m².K)</t>
  </si>
  <si>
    <t>Orientação</t>
  </si>
  <si>
    <t>Sul</t>
  </si>
  <si>
    <t>Leste</t>
  </si>
  <si>
    <t>Norte</t>
  </si>
  <si>
    <t>Oeste</t>
  </si>
  <si>
    <t>Horizontal</t>
  </si>
  <si>
    <t>6 h</t>
  </si>
  <si>
    <t>7 h</t>
  </si>
  <si>
    <t>8 h</t>
  </si>
  <si>
    <t>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</si>
  <si>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</si>
  <si>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</si>
  <si>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</si>
  <si>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</si>
  <si>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</si>
  <si>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</si>
  <si>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</si>
  <si>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</si>
  <si>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</si>
  <si>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Fluxo (W)</t>
  </si>
  <si>
    <t>Hora</t>
  </si>
  <si>
    <t>ID</t>
  </si>
  <si>
    <t>Absortividade</t>
  </si>
  <si>
    <t>Radiação Solar</t>
  </si>
  <si>
    <t>Dados de entrada</t>
  </si>
  <si>
    <t>Resultados</t>
  </si>
  <si>
    <t>Participação</t>
  </si>
  <si>
    <t>(Dia 22 dezembro, latitude 30°)</t>
  </si>
  <si>
    <t>Janela Norte</t>
  </si>
  <si>
    <t>Janela Leste</t>
  </si>
  <si>
    <t>Janela Sul</t>
  </si>
  <si>
    <t>Janela Oeste</t>
  </si>
  <si>
    <t>FS</t>
  </si>
  <si>
    <t>Vidros</t>
  </si>
  <si>
    <t>Tipo de vidro</t>
  </si>
  <si>
    <t>Transparente 3 mm : 0.87</t>
  </si>
  <si>
    <t>Cinza fumê 3 mm : 0.72</t>
  </si>
  <si>
    <t>Cinza fumê 6 mm : 0.6</t>
  </si>
  <si>
    <t>Verde 3 mm : 0.72</t>
  </si>
  <si>
    <t>Verde 6 mm : 0.6</t>
  </si>
  <si>
    <t>Reflexivo 3 mm : 0.3</t>
  </si>
  <si>
    <t>Transparente 6 mm : 0.83</t>
  </si>
  <si>
    <t>Transp. duplo 3 mm : 0.75</t>
  </si>
  <si>
    <t>Janelas</t>
  </si>
  <si>
    <t>U</t>
  </si>
  <si>
    <t>Subtotal</t>
  </si>
  <si>
    <t>Instruções:</t>
  </si>
  <si>
    <t>Esquema da orientação da sala:</t>
  </si>
  <si>
    <t>CÁLCULO DE FLUXO DE CALOR PROVENIENTE DO ENVELOPE DA EDIFICAÇÃO</t>
  </si>
  <si>
    <t>Dados horários</t>
  </si>
  <si>
    <t>Visualizar gráfico</t>
  </si>
  <si>
    <t>Amplitude</t>
  </si>
  <si>
    <t>Text (máx)</t>
  </si>
  <si>
    <t>Percentual amplitude</t>
  </si>
  <si>
    <t>T ext</t>
  </si>
  <si>
    <t>Fachada Norte</t>
  </si>
  <si>
    <t>Parede</t>
  </si>
  <si>
    <t>Janela</t>
  </si>
  <si>
    <t>Fachada Leste</t>
  </si>
  <si>
    <t>Fachada Sul</t>
  </si>
  <si>
    <t>Fachada Oeste</t>
  </si>
  <si>
    <t>Digitar os dados desejados nas células cinzas. Escolher as opções nas caixas de combinação.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</si>
</sst>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0"/>
      <name val="Arial"/>
    </font>
    <font>
      <sz val="10"/>
      <name val="Arial"/>
    </font>
    <font>
      <sz val="10"/>
      <color indexed="2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Arial"/>
    </font>
    <font>
      <u/>
      <sz val="10"/>
      <color indexed="12"/>
      <name val="Arial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99FF33"/>
      <name val="Arial"/>
      <family val="2"/>
    </font>
    <font>
      <b/>
      <sz val="10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10"/>
      <color theme="1" tint="0.499984740745262"/>
      <name val="Symbol"/>
      <family val="1"/>
      <charset val="2"/>
    </font>
    <font>
      <sz val="10"/>
      <name val="Arial"/>
      <family val="2"/>
    </font>
    <font>
      <b/>
      <i/>
      <sz val="10"/>
      <color theme="0"/>
      <name val="Arial"/>
      <family val="2"/>
    </font>
    <font>
      <b/>
      <sz val="14"/>
      <color theme="1" tint="0.499984740745262"/>
      <name val="Arial"/>
      <family val="2"/>
    </font>
    <font>
      <i/>
      <sz val="10"/>
      <color theme="1" tint="0.499984740745262"/>
      <name val="Arial"/>
      <family val="2"/>
    </font>
    <font>
      <b/>
      <i/>
      <sz val="10"/>
      <color theme="1" tint="0.34998626667073579"/>
      <name val="Arial"/>
      <family val="2"/>
    </font>
    <font>
      <u/>
      <sz val="10"/>
      <color theme="1" tint="0.34998626667073579"/>
      <name val="Arial"/>
      <family val="2"/>
    </font>
    <font>
      <sz val="10"/>
      <color rgb="FF99FF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3">
    <xf numFmtId="0" fontId="0" fillId="0" borderId="0" xfId="0"/>
    <xf numFmtId="2" fontId="0" fillId="0" borderId="0" xfId="0" applyNumberFormat="1"/>
    <xf numFmtId="0" fontId="2" fillId="0" borderId="0" xfId="0" applyFont="1"/>
    <xf numFmtId="0" fontId="0" fillId="2" borderId="0" xfId="0" applyFill="1"/>
    <xf numFmtId="0" fontId="4" fillId="2" borderId="0" xfId="0" applyFont="1" applyFill="1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9" fontId="0" fillId="2" borderId="0" xfId="2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9" fontId="3" fillId="2" borderId="0" xfId="2" applyFont="1" applyFill="1" applyAlignment="1">
      <alignment horizontal="center"/>
    </xf>
    <xf numFmtId="0" fontId="3" fillId="2" borderId="0" xfId="0" applyFont="1" applyFill="1"/>
    <xf numFmtId="0" fontId="0" fillId="2" borderId="1" xfId="0" applyFill="1" applyBorder="1"/>
    <xf numFmtId="1" fontId="0" fillId="2" borderId="1" xfId="0" applyNumberFormat="1" applyFill="1" applyBorder="1" applyAlignment="1">
      <alignment horizontal="center"/>
    </xf>
    <xf numFmtId="9" fontId="0" fillId="2" borderId="1" xfId="2" applyFont="1" applyFill="1" applyBorder="1" applyAlignment="1">
      <alignment horizontal="center"/>
    </xf>
    <xf numFmtId="0" fontId="5" fillId="2" borderId="0" xfId="0" applyFont="1" applyFill="1"/>
    <xf numFmtId="2" fontId="0" fillId="2" borderId="0" xfId="0" applyNumberFormat="1" applyFill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0" fontId="6" fillId="2" borderId="0" xfId="0" applyFont="1" applyFill="1"/>
    <xf numFmtId="0" fontId="8" fillId="2" borderId="0" xfId="0" applyFont="1" applyFill="1"/>
    <xf numFmtId="20" fontId="0" fillId="0" borderId="0" xfId="0" applyNumberFormat="1"/>
    <xf numFmtId="1" fontId="0" fillId="0" borderId="0" xfId="0" applyNumberFormat="1"/>
    <xf numFmtId="0" fontId="7" fillId="2" borderId="0" xfId="0" applyFont="1" applyFill="1"/>
    <xf numFmtId="2" fontId="12" fillId="3" borderId="2" xfId="0" applyNumberFormat="1" applyFont="1" applyFill="1" applyBorder="1" applyAlignment="1" applyProtection="1">
      <alignment horizontal="center"/>
      <protection locked="0"/>
    </xf>
    <xf numFmtId="0" fontId="15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16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13" fillId="3" borderId="0" xfId="0" applyFont="1" applyFill="1"/>
    <xf numFmtId="1" fontId="13" fillId="3" borderId="0" xfId="0" applyNumberFormat="1" applyFont="1" applyFill="1" applyAlignment="1">
      <alignment horizontal="center"/>
    </xf>
    <xf numFmtId="9" fontId="13" fillId="3" borderId="0" xfId="0" applyNumberFormat="1" applyFont="1" applyFill="1" applyAlignment="1">
      <alignment horizontal="center"/>
    </xf>
    <xf numFmtId="0" fontId="20" fillId="3" borderId="0" xfId="0" applyFont="1" applyFill="1"/>
    <xf numFmtId="0" fontId="11" fillId="3" borderId="0" xfId="0" applyFont="1" applyFill="1"/>
    <xf numFmtId="0" fontId="21" fillId="2" borderId="0" xfId="0" applyFont="1" applyFill="1"/>
    <xf numFmtId="0" fontId="22" fillId="2" borderId="0" xfId="0" applyFont="1" applyFill="1"/>
    <xf numFmtId="20" fontId="19" fillId="4" borderId="5" xfId="0" applyNumberFormat="1" applyFont="1" applyFill="1" applyBorder="1"/>
    <xf numFmtId="164" fontId="19" fillId="4" borderId="5" xfId="0" applyNumberFormat="1" applyFont="1" applyFill="1" applyBorder="1"/>
    <xf numFmtId="0" fontId="23" fillId="4" borderId="0" xfId="0" applyFont="1" applyFill="1"/>
    <xf numFmtId="0" fontId="15" fillId="4" borderId="0" xfId="0" applyFont="1" applyFill="1"/>
    <xf numFmtId="0" fontId="24" fillId="4" borderId="0" xfId="1" applyFont="1" applyFill="1" applyAlignment="1" applyProtection="1"/>
    <xf numFmtId="0" fontId="0" fillId="2" borderId="0" xfId="0" applyFill="1" applyBorder="1"/>
    <xf numFmtId="0" fontId="3" fillId="2" borderId="5" xfId="0" applyFont="1" applyFill="1" applyBorder="1" applyAlignment="1">
      <alignment horizontal="right"/>
    </xf>
    <xf numFmtId="0" fontId="14" fillId="2" borderId="5" xfId="0" applyFont="1" applyFill="1" applyBorder="1" applyAlignment="1">
      <alignment horizontal="right"/>
    </xf>
    <xf numFmtId="20" fontId="19" fillId="4" borderId="8" xfId="0" applyNumberFormat="1" applyFont="1" applyFill="1" applyBorder="1"/>
    <xf numFmtId="164" fontId="19" fillId="4" borderId="8" xfId="0" applyNumberFormat="1" applyFont="1" applyFill="1" applyBorder="1"/>
    <xf numFmtId="20" fontId="19" fillId="4" borderId="0" xfId="0" applyNumberFormat="1" applyFont="1" applyFill="1" applyBorder="1"/>
    <xf numFmtId="164" fontId="19" fillId="4" borderId="0" xfId="0" applyNumberFormat="1" applyFont="1" applyFill="1" applyBorder="1"/>
    <xf numFmtId="0" fontId="14" fillId="2" borderId="7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2" fontId="12" fillId="3" borderId="2" xfId="0" applyNumberFormat="1" applyFont="1" applyFill="1" applyBorder="1" applyAlignment="1" applyProtection="1">
      <alignment horizontal="right"/>
      <protection locked="0"/>
    </xf>
    <xf numFmtId="0" fontId="12" fillId="3" borderId="2" xfId="0" applyFont="1" applyFill="1" applyBorder="1" applyAlignment="1" applyProtection="1">
      <alignment horizontal="right"/>
      <protection locked="0"/>
    </xf>
    <xf numFmtId="2" fontId="12" fillId="3" borderId="3" xfId="0" applyNumberFormat="1" applyFont="1" applyFill="1" applyBorder="1" applyAlignment="1" applyProtection="1">
      <alignment horizontal="center"/>
      <protection locked="0"/>
    </xf>
    <xf numFmtId="0" fontId="25" fillId="2" borderId="0" xfId="0" applyFont="1" applyFill="1"/>
    <xf numFmtId="1" fontId="19" fillId="4" borderId="13" xfId="0" applyNumberFormat="1" applyFont="1" applyFill="1" applyBorder="1" applyAlignment="1">
      <alignment horizontal="center"/>
    </xf>
    <xf numFmtId="1" fontId="19" fillId="4" borderId="8" xfId="0" applyNumberFormat="1" applyFont="1" applyFill="1" applyBorder="1" applyAlignment="1">
      <alignment horizontal="center"/>
    </xf>
    <xf numFmtId="1" fontId="15" fillId="4" borderId="14" xfId="0" applyNumberFormat="1" applyFont="1" applyFill="1" applyBorder="1" applyAlignment="1">
      <alignment horizontal="center"/>
    </xf>
    <xf numFmtId="1" fontId="15" fillId="4" borderId="8" xfId="0" applyNumberFormat="1" applyFont="1" applyFill="1" applyBorder="1" applyAlignment="1">
      <alignment horizontal="center"/>
    </xf>
    <xf numFmtId="1" fontId="19" fillId="4" borderId="10" xfId="0" applyNumberFormat="1" applyFont="1" applyFill="1" applyBorder="1" applyAlignment="1">
      <alignment horizontal="center"/>
    </xf>
    <xf numFmtId="1" fontId="19" fillId="4" borderId="12" xfId="0" applyNumberFormat="1" applyFont="1" applyFill="1" applyBorder="1" applyAlignment="1">
      <alignment horizontal="center"/>
    </xf>
    <xf numFmtId="1" fontId="19" fillId="4" borderId="0" xfId="0" applyNumberFormat="1" applyFont="1" applyFill="1" applyBorder="1" applyAlignment="1">
      <alignment horizontal="center"/>
    </xf>
    <xf numFmtId="1" fontId="15" fillId="4" borderId="6" xfId="0" applyNumberFormat="1" applyFont="1" applyFill="1" applyBorder="1" applyAlignment="1">
      <alignment horizontal="center"/>
    </xf>
    <xf numFmtId="1" fontId="15" fillId="4" borderId="0" xfId="0" applyNumberFormat="1" applyFont="1" applyFill="1" applyBorder="1" applyAlignment="1">
      <alignment horizontal="center"/>
    </xf>
    <xf numFmtId="1" fontId="19" fillId="4" borderId="4" xfId="0" applyNumberFormat="1" applyFont="1" applyFill="1" applyBorder="1" applyAlignment="1">
      <alignment horizontal="center"/>
    </xf>
    <xf numFmtId="1" fontId="19" fillId="4" borderId="11" xfId="0" applyNumberFormat="1" applyFont="1" applyFill="1" applyBorder="1" applyAlignment="1">
      <alignment horizontal="center"/>
    </xf>
    <xf numFmtId="1" fontId="19" fillId="4" borderId="5" xfId="0" applyNumberFormat="1" applyFont="1" applyFill="1" applyBorder="1" applyAlignment="1">
      <alignment horizontal="center"/>
    </xf>
    <xf numFmtId="1" fontId="15" fillId="4" borderId="7" xfId="0" applyNumberFormat="1" applyFont="1" applyFill="1" applyBorder="1" applyAlignment="1">
      <alignment horizontal="center"/>
    </xf>
    <xf numFmtId="1" fontId="15" fillId="4" borderId="5" xfId="0" applyNumberFormat="1" applyFont="1" applyFill="1" applyBorder="1" applyAlignment="1">
      <alignment horizontal="center"/>
    </xf>
    <xf numFmtId="1" fontId="19" fillId="4" borderId="9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"/>
    </xf>
    <xf numFmtId="0" fontId="3" fillId="2" borderId="6" xfId="1" applyFont="1" applyFill="1" applyBorder="1" applyAlignment="1" applyProtection="1">
      <alignment horizontal="center"/>
    </xf>
    <xf numFmtId="0" fontId="3" fillId="2" borderId="0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Porcentagem" xfId="2" builtinId="5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  <colors>
    <mruColors>
      <color rgb="FFADFF5B"/>
      <color rgb="FF99CC00"/>
      <color rgb="FF9ABB59"/>
      <color rgb="FF99FF33"/>
      <color rgb="FFC9FF93"/>
      <color rgb="FFFFFF9F"/>
      <color rgb="FFFFFF66"/>
      <color rgb="FFFFFFAF"/>
      <color rgb="FFFF0000"/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style val="29"/>
  <c:chart>
    <c:title>
      <c:tx>
        <c:rich>
          <a:bodyPr/>
          <a:lstStyle/>
          <a:p>
            <a:pPr>
              <a:defRPr sz="1400"/>
            </a:pPr>
            <a:r>
              <a:rPr lang="es-CO" sz="1400"/>
              <a:t>Participação de cada componente</a:t>
            </a:r>
          </a:p>
        </c:rich>
      </c:tx>
      <c:layout>
        <c:manualLayout>
          <c:xMode val="edge"/>
          <c:yMode val="edge"/>
          <c:x val="0.18518578340100661"/>
          <c:y val="3.7037037037037056E-2"/>
        </c:manualLayout>
      </c:layout>
    </c:title>
    <c:plotArea>
      <c:layout>
        <c:manualLayout>
          <c:layoutTarget val="inner"/>
          <c:xMode val="edge"/>
          <c:yMode val="edge"/>
          <c:x val="0.15099757110702447"/>
          <c:y val="0.21851930888060236"/>
          <c:w val="0.80911906027160196"/>
          <c:h val="0.47037207165824579"/>
        </c:manualLayout>
      </c:layout>
      <c:barChart>
        <c:barDir val="col"/>
        <c:grouping val="clustered"/>
        <c:ser>
          <c:idx val="0"/>
          <c:order val="0"/>
          <c:tx>
            <c:v>Paredes e Cobertura</c:v>
          </c:tx>
          <c:dLbls>
            <c:showVal val="1"/>
          </c:dLbls>
          <c:cat>
            <c:strRef>
              <c:f>fluxo_calor!$A$18:$A$22</c:f>
              <c:strCache>
                <c:ptCount val="5"/>
                <c:pt idx="0">
                  <c:v>Cobertura</c:v>
                </c:pt>
                <c:pt idx="1">
                  <c:v>Parede Norte</c:v>
                </c:pt>
                <c:pt idx="2">
                  <c:v>Parede Leste</c:v>
                </c:pt>
                <c:pt idx="3">
                  <c:v>Parede Sul</c:v>
                </c:pt>
                <c:pt idx="4">
                  <c:v>Parede Oeste</c:v>
                </c:pt>
              </c:strCache>
            </c:strRef>
          </c:cat>
          <c:val>
            <c:numRef>
              <c:f>fluxo_calor!$F$18:$F$22</c:f>
              <c:numCache>
                <c:formatCode>0%</c:formatCode>
                <c:ptCount val="5"/>
                <c:pt idx="0">
                  <c:v>0.24603010320253121</c:v>
                </c:pt>
                <c:pt idx="1">
                  <c:v>3.9320882565404551E-2</c:v>
                </c:pt>
                <c:pt idx="2">
                  <c:v>8.4691131679332884E-2</c:v>
                </c:pt>
                <c:pt idx="3">
                  <c:v>4.1517579915427143E-2</c:v>
                </c:pt>
                <c:pt idx="4">
                  <c:v>0.22876068249696901</c:v>
                </c:pt>
              </c:numCache>
            </c:numRef>
          </c:val>
        </c:ser>
        <c:ser>
          <c:idx val="1"/>
          <c:order val="1"/>
          <c:tx>
            <c:v>Janelas</c:v>
          </c:tx>
          <c:dLbls>
            <c:showVal val="1"/>
          </c:dLbls>
          <c:cat>
            <c:strRef>
              <c:f>fluxo_calor!$A$18:$A$22</c:f>
              <c:strCache>
                <c:ptCount val="5"/>
                <c:pt idx="0">
                  <c:v>Cobertura</c:v>
                </c:pt>
                <c:pt idx="1">
                  <c:v>Parede Norte</c:v>
                </c:pt>
                <c:pt idx="2">
                  <c:v>Parede Leste</c:v>
                </c:pt>
                <c:pt idx="3">
                  <c:v>Parede Sul</c:v>
                </c:pt>
                <c:pt idx="4">
                  <c:v>Parede Oeste</c:v>
                </c:pt>
              </c:strCache>
            </c:strRef>
          </c:cat>
          <c:val>
            <c:numRef>
              <c:f>fluxo_calor!$F$25:$F$29</c:f>
              <c:numCache>
                <c:formatCode>0%</c:formatCode>
                <c:ptCount val="5"/>
                <c:pt idx="0" formatCode="General">
                  <c:v>0</c:v>
                </c:pt>
                <c:pt idx="1">
                  <c:v>3.4783857654011721E-2</c:v>
                </c:pt>
                <c:pt idx="2">
                  <c:v>3.4783857654011721E-2</c:v>
                </c:pt>
                <c:pt idx="3">
                  <c:v>4.1796391502160787E-2</c:v>
                </c:pt>
                <c:pt idx="4">
                  <c:v>0.24831551333015095</c:v>
                </c:pt>
              </c:numCache>
            </c:numRef>
          </c:val>
        </c:ser>
        <c:dLbls>
          <c:showVal val="1"/>
        </c:dLbls>
        <c:axId val="93816704"/>
        <c:axId val="93818240"/>
      </c:barChart>
      <c:catAx>
        <c:axId val="9381670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O"/>
          </a:p>
        </c:txPr>
        <c:crossAx val="93818240"/>
        <c:crosses val="autoZero"/>
        <c:auto val="1"/>
        <c:lblAlgn val="ctr"/>
        <c:lblOffset val="100"/>
        <c:tickLblSkip val="1"/>
        <c:tickMarkSkip val="1"/>
      </c:catAx>
      <c:valAx>
        <c:axId val="93818240"/>
        <c:scaling>
          <c:orientation val="minMax"/>
        </c:scaling>
        <c:axPos val="l"/>
        <c:majorGridlines/>
        <c:numFmt formatCode="0%" sourceLinked="1"/>
        <c:tickLblPos val="nextTo"/>
        <c:txPr>
          <a:bodyPr rot="0" vert="horz"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O"/>
          </a:p>
        </c:txPr>
        <c:crossAx val="93816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780686602208942"/>
          <c:y val="0.8851882959074554"/>
          <c:w val="0.57550007103812884"/>
          <c:h val="8.8889277729172753E-2"/>
        </c:manualLayout>
      </c:layout>
    </c:legend>
    <c:plotVisOnly val="1"/>
    <c:dispBlanksAs val="gap"/>
  </c:chart>
  <c:printSettings>
    <c:headerFooter alignWithMargins="0"/>
    <c:pageMargins b="0.98425196899999956" l="0.78740157499999996" r="0.78740157499999996" t="0.98425196899999956" header="0.49212598500000038" footer="0.4921259850000003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/>
              <a:t>Fluxo de calor por componente</a:t>
            </a:r>
          </a:p>
        </c:rich>
      </c:tx>
      <c:layout>
        <c:manualLayout>
          <c:xMode val="edge"/>
          <c:yMode val="edge"/>
          <c:x val="0.26617647058823535"/>
          <c:y val="3.260869565217395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58823529411765"/>
          <c:y val="0.14945652173913043"/>
          <c:w val="0.6764705882352946"/>
          <c:h val="0.78260869565217472"/>
        </c:manualLayout>
      </c:layout>
      <c:lineChart>
        <c:grouping val="standard"/>
        <c:ser>
          <c:idx val="0"/>
          <c:order val="0"/>
          <c:tx>
            <c:strRef>
              <c:f>dados_horários!$C$7</c:f>
              <c:strCache>
                <c:ptCount val="1"/>
                <c:pt idx="0">
                  <c:v>Cobertura</c:v>
                </c:pt>
              </c:strCache>
            </c:strRef>
          </c:tx>
          <c:spPr>
            <a:ln w="19050" cap="sq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dados_horários!$A$9:$A$32</c:f>
              <c:numCache>
                <c:formatCode>hh:mm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0.16666666666666699</c:v>
                </c:pt>
                <c:pt idx="4">
                  <c:v>0.20833333333333401</c:v>
                </c:pt>
                <c:pt idx="5">
                  <c:v>0.25</c:v>
                </c:pt>
                <c:pt idx="6">
                  <c:v>0.29166666666666702</c:v>
                </c:pt>
                <c:pt idx="7">
                  <c:v>0.33333333333333398</c:v>
                </c:pt>
                <c:pt idx="8">
                  <c:v>0.375</c:v>
                </c:pt>
                <c:pt idx="9">
                  <c:v>0.41666666666666702</c:v>
                </c:pt>
                <c:pt idx="10">
                  <c:v>0.45833333333333398</c:v>
                </c:pt>
                <c:pt idx="11">
                  <c:v>0.5</c:v>
                </c:pt>
                <c:pt idx="12">
                  <c:v>0.54166666666666696</c:v>
                </c:pt>
                <c:pt idx="13">
                  <c:v>0.58333333333333404</c:v>
                </c:pt>
                <c:pt idx="14">
                  <c:v>0.625</c:v>
                </c:pt>
                <c:pt idx="15">
                  <c:v>0.66666666666666696</c:v>
                </c:pt>
                <c:pt idx="16">
                  <c:v>0.70833333333333404</c:v>
                </c:pt>
                <c:pt idx="17">
                  <c:v>0.75</c:v>
                </c:pt>
                <c:pt idx="18">
                  <c:v>0.79166666666666696</c:v>
                </c:pt>
                <c:pt idx="19">
                  <c:v>0.83333333333333404</c:v>
                </c:pt>
                <c:pt idx="20">
                  <c:v>0.875</c:v>
                </c:pt>
                <c:pt idx="21">
                  <c:v>0.91666666666666696</c:v>
                </c:pt>
                <c:pt idx="22">
                  <c:v>0.95833333333333404</c:v>
                </c:pt>
                <c:pt idx="23">
                  <c:v>1</c:v>
                </c:pt>
              </c:numCache>
            </c:numRef>
          </c:cat>
          <c:val>
            <c:numRef>
              <c:f>dados_horários!$C$9:$C$32</c:f>
              <c:numCache>
                <c:formatCode>0</c:formatCode>
                <c:ptCount val="24"/>
                <c:pt idx="0">
                  <c:v>-496.00000000000011</c:v>
                </c:pt>
                <c:pt idx="1">
                  <c:v>-536</c:v>
                </c:pt>
                <c:pt idx="2">
                  <c:v>-568</c:v>
                </c:pt>
                <c:pt idx="3">
                  <c:v>-592.00000000000023</c:v>
                </c:pt>
                <c:pt idx="4">
                  <c:v>-600</c:v>
                </c:pt>
                <c:pt idx="5">
                  <c:v>-447.20000000000016</c:v>
                </c:pt>
                <c:pt idx="6">
                  <c:v>-130.00000000000006</c:v>
                </c:pt>
                <c:pt idx="7">
                  <c:v>233.60000000000019</c:v>
                </c:pt>
                <c:pt idx="8">
                  <c:v>596.80000000000041</c:v>
                </c:pt>
                <c:pt idx="9">
                  <c:v>934.00000000000034</c:v>
                </c:pt>
                <c:pt idx="10">
                  <c:v>1206.7999999999997</c:v>
                </c:pt>
                <c:pt idx="11">
                  <c:v>1376.8000000000002</c:v>
                </c:pt>
                <c:pt idx="12">
                  <c:v>1430.8</c:v>
                </c:pt>
                <c:pt idx="13">
                  <c:v>1357.9999999999998</c:v>
                </c:pt>
                <c:pt idx="14">
                  <c:v>1164.7999999999997</c:v>
                </c:pt>
                <c:pt idx="15">
                  <c:v>881.60000000000025</c:v>
                </c:pt>
                <c:pt idx="16">
                  <c:v>533.99999999999966</c:v>
                </c:pt>
                <c:pt idx="17">
                  <c:v>168.7999999999999</c:v>
                </c:pt>
                <c:pt idx="18">
                  <c:v>-71.999999999999886</c:v>
                </c:pt>
                <c:pt idx="19">
                  <c:v>-175.9999999999998</c:v>
                </c:pt>
                <c:pt idx="20">
                  <c:v>-264.00000000000006</c:v>
                </c:pt>
                <c:pt idx="21">
                  <c:v>-344.00000000000011</c:v>
                </c:pt>
                <c:pt idx="22">
                  <c:v>-407.99999999999983</c:v>
                </c:pt>
                <c:pt idx="23">
                  <c:v>-455.99999999999989</c:v>
                </c:pt>
              </c:numCache>
            </c:numRef>
          </c:val>
          <c:smooth val="1"/>
        </c:ser>
        <c:ser>
          <c:idx val="1"/>
          <c:order val="1"/>
          <c:tx>
            <c:v>Parede Norte</c:v>
          </c:tx>
          <c:spPr>
            <a:ln w="349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numRef>
              <c:f>dados_horários!$A$9:$A$32</c:f>
              <c:numCache>
                <c:formatCode>hh:mm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0.16666666666666699</c:v>
                </c:pt>
                <c:pt idx="4">
                  <c:v>0.20833333333333401</c:v>
                </c:pt>
                <c:pt idx="5">
                  <c:v>0.25</c:v>
                </c:pt>
                <c:pt idx="6">
                  <c:v>0.29166666666666702</c:v>
                </c:pt>
                <c:pt idx="7">
                  <c:v>0.33333333333333398</c:v>
                </c:pt>
                <c:pt idx="8">
                  <c:v>0.375</c:v>
                </c:pt>
                <c:pt idx="9">
                  <c:v>0.41666666666666702</c:v>
                </c:pt>
                <c:pt idx="10">
                  <c:v>0.45833333333333398</c:v>
                </c:pt>
                <c:pt idx="11">
                  <c:v>0.5</c:v>
                </c:pt>
                <c:pt idx="12">
                  <c:v>0.54166666666666696</c:v>
                </c:pt>
                <c:pt idx="13">
                  <c:v>0.58333333333333404</c:v>
                </c:pt>
                <c:pt idx="14">
                  <c:v>0.625</c:v>
                </c:pt>
                <c:pt idx="15">
                  <c:v>0.66666666666666696</c:v>
                </c:pt>
                <c:pt idx="16">
                  <c:v>0.70833333333333404</c:v>
                </c:pt>
                <c:pt idx="17">
                  <c:v>0.75</c:v>
                </c:pt>
                <c:pt idx="18">
                  <c:v>0.79166666666666696</c:v>
                </c:pt>
                <c:pt idx="19">
                  <c:v>0.83333333333333404</c:v>
                </c:pt>
                <c:pt idx="20">
                  <c:v>0.875</c:v>
                </c:pt>
                <c:pt idx="21">
                  <c:v>0.91666666666666696</c:v>
                </c:pt>
                <c:pt idx="22">
                  <c:v>0.95833333333333404</c:v>
                </c:pt>
                <c:pt idx="23">
                  <c:v>1</c:v>
                </c:pt>
              </c:numCache>
            </c:numRef>
          </c:cat>
          <c:val>
            <c:numRef>
              <c:f>dados_horários!$D$9:$D$32</c:f>
              <c:numCache>
                <c:formatCode>0</c:formatCode>
                <c:ptCount val="24"/>
                <c:pt idx="0">
                  <c:v>-24.960000000000022</c:v>
                </c:pt>
                <c:pt idx="1">
                  <c:v>-50.863999999999976</c:v>
                </c:pt>
                <c:pt idx="2">
                  <c:v>-62.831999999999994</c:v>
                </c:pt>
                <c:pt idx="3">
                  <c:v>-71.808000000000064</c:v>
                </c:pt>
                <c:pt idx="4">
                  <c:v>-74.8</c:v>
                </c:pt>
                <c:pt idx="5">
                  <c:v>-14.315999999999995</c:v>
                </c:pt>
                <c:pt idx="6">
                  <c:v>39.883999999999936</c:v>
                </c:pt>
                <c:pt idx="7">
                  <c:v>82.072000000000045</c:v>
                </c:pt>
                <c:pt idx="8">
                  <c:v>138.40800000000002</c:v>
                </c:pt>
                <c:pt idx="9">
                  <c:v>311.90800000000002</c:v>
                </c:pt>
                <c:pt idx="10">
                  <c:v>478.3119999999999</c:v>
                </c:pt>
                <c:pt idx="11">
                  <c:v>545.80400000000009</c:v>
                </c:pt>
                <c:pt idx="12">
                  <c:v>562.08800000000008</c:v>
                </c:pt>
                <c:pt idx="13">
                  <c:v>470.48400000000004</c:v>
                </c:pt>
                <c:pt idx="14">
                  <c:v>350.84000000000003</c:v>
                </c:pt>
                <c:pt idx="15">
                  <c:v>324.42400000000009</c:v>
                </c:pt>
                <c:pt idx="16">
                  <c:v>288.21999999999997</c:v>
                </c:pt>
                <c:pt idx="17">
                  <c:v>216.06800000000001</c:v>
                </c:pt>
                <c:pt idx="18">
                  <c:v>122.67200000000005</c:v>
                </c:pt>
                <c:pt idx="19">
                  <c:v>83.776000000000067</c:v>
                </c:pt>
                <c:pt idx="20">
                  <c:v>50.863999999999976</c:v>
                </c:pt>
                <c:pt idx="21">
                  <c:v>20.943999999999953</c:v>
                </c:pt>
                <c:pt idx="22">
                  <c:v>-2.991999999999936</c:v>
                </c:pt>
                <c:pt idx="23">
                  <c:v>-20.943999999999953</c:v>
                </c:pt>
              </c:numCache>
            </c:numRef>
          </c:val>
        </c:ser>
        <c:ser>
          <c:idx val="2"/>
          <c:order val="2"/>
          <c:tx>
            <c:v>Janela Norte</c:v>
          </c:tx>
          <c:spPr>
            <a:ln w="28575">
              <a:solidFill>
                <a:srgbClr val="99CC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99CC00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  <a:prstDash val="solid"/>
              </a:ln>
            </c:spPr>
          </c:marker>
          <c:cat>
            <c:numRef>
              <c:f>dados_horários!$A$9:$A$32</c:f>
              <c:numCache>
                <c:formatCode>hh:mm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0.16666666666666699</c:v>
                </c:pt>
                <c:pt idx="4">
                  <c:v>0.20833333333333401</c:v>
                </c:pt>
                <c:pt idx="5">
                  <c:v>0.25</c:v>
                </c:pt>
                <c:pt idx="6">
                  <c:v>0.29166666666666702</c:v>
                </c:pt>
                <c:pt idx="7">
                  <c:v>0.33333333333333398</c:v>
                </c:pt>
                <c:pt idx="8">
                  <c:v>0.375</c:v>
                </c:pt>
                <c:pt idx="9">
                  <c:v>0.41666666666666702</c:v>
                </c:pt>
                <c:pt idx="10">
                  <c:v>0.45833333333333398</c:v>
                </c:pt>
                <c:pt idx="11">
                  <c:v>0.5</c:v>
                </c:pt>
                <c:pt idx="12">
                  <c:v>0.54166666666666696</c:v>
                </c:pt>
                <c:pt idx="13">
                  <c:v>0.58333333333333404</c:v>
                </c:pt>
                <c:pt idx="14">
                  <c:v>0.625</c:v>
                </c:pt>
                <c:pt idx="15">
                  <c:v>0.66666666666666696</c:v>
                </c:pt>
                <c:pt idx="16">
                  <c:v>0.70833333333333404</c:v>
                </c:pt>
                <c:pt idx="17">
                  <c:v>0.75</c:v>
                </c:pt>
                <c:pt idx="18">
                  <c:v>0.79166666666666696</c:v>
                </c:pt>
                <c:pt idx="19">
                  <c:v>0.83333333333333404</c:v>
                </c:pt>
                <c:pt idx="20">
                  <c:v>0.875</c:v>
                </c:pt>
                <c:pt idx="21">
                  <c:v>0.91666666666666696</c:v>
                </c:pt>
                <c:pt idx="22">
                  <c:v>0.95833333333333404</c:v>
                </c:pt>
                <c:pt idx="23">
                  <c:v>1</c:v>
                </c:pt>
              </c:numCache>
            </c:numRef>
          </c:cat>
          <c:val>
            <c:numRef>
              <c:f>dados_horários!$E$9:$E$32</c:f>
              <c:numCache>
                <c:formatCode>0</c:formatCode>
                <c:ptCount val="24"/>
                <c:pt idx="0">
                  <c:v>-10.94400000000001</c:v>
                </c:pt>
                <c:pt idx="1">
                  <c:v>-15.503999999999994</c:v>
                </c:pt>
                <c:pt idx="2">
                  <c:v>-19.151999999999997</c:v>
                </c:pt>
                <c:pt idx="3">
                  <c:v>-21.888000000000019</c:v>
                </c:pt>
                <c:pt idx="4">
                  <c:v>-22.8</c:v>
                </c:pt>
                <c:pt idx="5">
                  <c:v>20.524000000000001</c:v>
                </c:pt>
                <c:pt idx="6">
                  <c:v>54.963999999999984</c:v>
                </c:pt>
                <c:pt idx="7">
                  <c:v>74.792000000000016</c:v>
                </c:pt>
                <c:pt idx="8">
                  <c:v>99.927999999999997</c:v>
                </c:pt>
                <c:pt idx="9">
                  <c:v>211.548</c:v>
                </c:pt>
                <c:pt idx="10">
                  <c:v>315.03199999999998</c:v>
                </c:pt>
                <c:pt idx="11">
                  <c:v>344.56399999999996</c:v>
                </c:pt>
                <c:pt idx="12">
                  <c:v>340.56799999999998</c:v>
                </c:pt>
                <c:pt idx="13">
                  <c:v>259.88400000000001</c:v>
                </c:pt>
                <c:pt idx="14">
                  <c:v>164.68</c:v>
                </c:pt>
                <c:pt idx="15">
                  <c:v>148.66400000000002</c:v>
                </c:pt>
                <c:pt idx="16">
                  <c:v>130.66</c:v>
                </c:pt>
                <c:pt idx="17">
                  <c:v>90.748000000000005</c:v>
                </c:pt>
                <c:pt idx="18">
                  <c:v>37.392000000000017</c:v>
                </c:pt>
                <c:pt idx="19">
                  <c:v>25.536000000000023</c:v>
                </c:pt>
                <c:pt idx="20">
                  <c:v>15.503999999999994</c:v>
                </c:pt>
                <c:pt idx="21">
                  <c:v>6.3839999999999852</c:v>
                </c:pt>
                <c:pt idx="22">
                  <c:v>-0.9119999999999806</c:v>
                </c:pt>
                <c:pt idx="23">
                  <c:v>-6.3839999999999852</c:v>
                </c:pt>
              </c:numCache>
            </c:numRef>
          </c:val>
          <c:smooth val="1"/>
        </c:ser>
        <c:ser>
          <c:idx val="3"/>
          <c:order val="3"/>
          <c:tx>
            <c:v>Parede Leste</c:v>
          </c:tx>
          <c:spPr>
            <a:ln w="44450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dados_horários!$A$9:$A$32</c:f>
              <c:numCache>
                <c:formatCode>hh:mm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0.16666666666666699</c:v>
                </c:pt>
                <c:pt idx="4">
                  <c:v>0.20833333333333401</c:v>
                </c:pt>
                <c:pt idx="5">
                  <c:v>0.25</c:v>
                </c:pt>
                <c:pt idx="6">
                  <c:v>0.29166666666666702</c:v>
                </c:pt>
                <c:pt idx="7">
                  <c:v>0.33333333333333398</c:v>
                </c:pt>
                <c:pt idx="8">
                  <c:v>0.375</c:v>
                </c:pt>
                <c:pt idx="9">
                  <c:v>0.41666666666666702</c:v>
                </c:pt>
                <c:pt idx="10">
                  <c:v>0.45833333333333398</c:v>
                </c:pt>
                <c:pt idx="11">
                  <c:v>0.5</c:v>
                </c:pt>
                <c:pt idx="12">
                  <c:v>0.54166666666666696</c:v>
                </c:pt>
                <c:pt idx="13">
                  <c:v>0.58333333333333404</c:v>
                </c:pt>
                <c:pt idx="14">
                  <c:v>0.625</c:v>
                </c:pt>
                <c:pt idx="15">
                  <c:v>0.66666666666666696</c:v>
                </c:pt>
                <c:pt idx="16">
                  <c:v>0.70833333333333404</c:v>
                </c:pt>
                <c:pt idx="17">
                  <c:v>0.75</c:v>
                </c:pt>
                <c:pt idx="18">
                  <c:v>0.79166666666666696</c:v>
                </c:pt>
                <c:pt idx="19">
                  <c:v>0.83333333333333404</c:v>
                </c:pt>
                <c:pt idx="20">
                  <c:v>0.875</c:v>
                </c:pt>
                <c:pt idx="21">
                  <c:v>0.91666666666666696</c:v>
                </c:pt>
                <c:pt idx="22">
                  <c:v>0.95833333333333404</c:v>
                </c:pt>
                <c:pt idx="23">
                  <c:v>1</c:v>
                </c:pt>
              </c:numCache>
            </c:numRef>
          </c:cat>
          <c:val>
            <c:numRef>
              <c:f>dados_horários!$F$9:$F$32</c:f>
              <c:numCache>
                <c:formatCode>0</c:formatCode>
                <c:ptCount val="24"/>
                <c:pt idx="0">
                  <c:v>-53.760000000000048</c:v>
                </c:pt>
                <c:pt idx="1">
                  <c:v>-91.663999999999959</c:v>
                </c:pt>
                <c:pt idx="2">
                  <c:v>-113.23199999999999</c:v>
                </c:pt>
                <c:pt idx="3">
                  <c:v>-129.40800000000013</c:v>
                </c:pt>
                <c:pt idx="4">
                  <c:v>-134.80000000000001</c:v>
                </c:pt>
                <c:pt idx="5">
                  <c:v>821.18399999999997</c:v>
                </c:pt>
                <c:pt idx="6">
                  <c:v>1662.684</c:v>
                </c:pt>
                <c:pt idx="7">
                  <c:v>1939.1719999999996</c:v>
                </c:pt>
                <c:pt idx="8">
                  <c:v>1875.8279999999997</c:v>
                </c:pt>
                <c:pt idx="9">
                  <c:v>1539.7079999999999</c:v>
                </c:pt>
                <c:pt idx="10">
                  <c:v>1053.1320000000001</c:v>
                </c:pt>
                <c:pt idx="11">
                  <c:v>461.08400000000006</c:v>
                </c:pt>
                <c:pt idx="12">
                  <c:v>534.12800000000004</c:v>
                </c:pt>
                <c:pt idx="13">
                  <c:v>563.36400000000026</c:v>
                </c:pt>
                <c:pt idx="14">
                  <c:v>565.6400000000001</c:v>
                </c:pt>
                <c:pt idx="15">
                  <c:v>527.22400000000005</c:v>
                </c:pt>
                <c:pt idx="16">
                  <c:v>470.01999999999987</c:v>
                </c:pt>
                <c:pt idx="17">
                  <c:v>360.66800000000001</c:v>
                </c:pt>
                <c:pt idx="18">
                  <c:v>221.07200000000009</c:v>
                </c:pt>
                <c:pt idx="19">
                  <c:v>150.97600000000014</c:v>
                </c:pt>
                <c:pt idx="20">
                  <c:v>91.663999999999959</c:v>
                </c:pt>
                <c:pt idx="21">
                  <c:v>37.743999999999915</c:v>
                </c:pt>
                <c:pt idx="22">
                  <c:v>-5.3919999999998849</c:v>
                </c:pt>
                <c:pt idx="23">
                  <c:v>-37.743999999999915</c:v>
                </c:pt>
              </c:numCache>
            </c:numRef>
          </c:val>
          <c:smooth val="1"/>
        </c:ser>
        <c:ser>
          <c:idx val="4"/>
          <c:order val="4"/>
          <c:tx>
            <c:v>Janela Leste</c:v>
          </c:tx>
          <c:spPr>
            <a:ln w="38100">
              <a:solidFill>
                <a:srgbClr val="99FF33"/>
              </a:solidFill>
              <a:prstDash val="sysDot"/>
            </a:ln>
          </c:spPr>
          <c:marker>
            <c:symbol val="none"/>
          </c:marker>
          <c:cat>
            <c:numRef>
              <c:f>dados_horários!$A$9:$A$32</c:f>
              <c:numCache>
                <c:formatCode>hh:mm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0.16666666666666699</c:v>
                </c:pt>
                <c:pt idx="4">
                  <c:v>0.20833333333333401</c:v>
                </c:pt>
                <c:pt idx="5">
                  <c:v>0.25</c:v>
                </c:pt>
                <c:pt idx="6">
                  <c:v>0.29166666666666702</c:v>
                </c:pt>
                <c:pt idx="7">
                  <c:v>0.33333333333333398</c:v>
                </c:pt>
                <c:pt idx="8">
                  <c:v>0.375</c:v>
                </c:pt>
                <c:pt idx="9">
                  <c:v>0.41666666666666702</c:v>
                </c:pt>
                <c:pt idx="10">
                  <c:v>0.45833333333333398</c:v>
                </c:pt>
                <c:pt idx="11">
                  <c:v>0.5</c:v>
                </c:pt>
                <c:pt idx="12">
                  <c:v>0.54166666666666696</c:v>
                </c:pt>
                <c:pt idx="13">
                  <c:v>0.58333333333333404</c:v>
                </c:pt>
                <c:pt idx="14">
                  <c:v>0.625</c:v>
                </c:pt>
                <c:pt idx="15">
                  <c:v>0.66666666666666696</c:v>
                </c:pt>
                <c:pt idx="16">
                  <c:v>0.70833333333333404</c:v>
                </c:pt>
                <c:pt idx="17">
                  <c:v>0.75</c:v>
                </c:pt>
                <c:pt idx="18">
                  <c:v>0.79166666666666696</c:v>
                </c:pt>
                <c:pt idx="19">
                  <c:v>0.83333333333333404</c:v>
                </c:pt>
                <c:pt idx="20">
                  <c:v>0.875</c:v>
                </c:pt>
                <c:pt idx="21">
                  <c:v>0.91666666666666696</c:v>
                </c:pt>
                <c:pt idx="22">
                  <c:v>0.95833333333333404</c:v>
                </c:pt>
                <c:pt idx="23">
                  <c:v>1</c:v>
                </c:pt>
              </c:numCache>
            </c:numRef>
          </c:cat>
          <c:val>
            <c:numRef>
              <c:f>dados_horários!$G$9:$G$32</c:f>
              <c:numCache>
                <c:formatCode>0</c:formatCode>
                <c:ptCount val="24"/>
                <c:pt idx="0">
                  <c:v>-10.94400000000001</c:v>
                </c:pt>
                <c:pt idx="1">
                  <c:v>-15.503999999999994</c:v>
                </c:pt>
                <c:pt idx="2">
                  <c:v>-19.151999999999997</c:v>
                </c:pt>
                <c:pt idx="3">
                  <c:v>-21.888000000000019</c:v>
                </c:pt>
                <c:pt idx="4">
                  <c:v>-22.8</c:v>
                </c:pt>
                <c:pt idx="5">
                  <c:v>543.42399999999998</c:v>
                </c:pt>
                <c:pt idx="6">
                  <c:v>1034.364</c:v>
                </c:pt>
                <c:pt idx="7">
                  <c:v>1178.6919999999998</c:v>
                </c:pt>
                <c:pt idx="8">
                  <c:v>1110.8679999999999</c:v>
                </c:pt>
                <c:pt idx="9">
                  <c:v>875.54799999999989</c:v>
                </c:pt>
                <c:pt idx="10">
                  <c:v>545.77199999999993</c:v>
                </c:pt>
                <c:pt idx="11">
                  <c:v>155.32400000000001</c:v>
                </c:pt>
                <c:pt idx="12">
                  <c:v>171.24800000000002</c:v>
                </c:pt>
                <c:pt idx="13">
                  <c:v>170.24400000000003</c:v>
                </c:pt>
                <c:pt idx="14">
                  <c:v>164.68</c:v>
                </c:pt>
                <c:pt idx="15">
                  <c:v>148.66400000000002</c:v>
                </c:pt>
                <c:pt idx="16">
                  <c:v>130.66</c:v>
                </c:pt>
                <c:pt idx="17">
                  <c:v>90.748000000000005</c:v>
                </c:pt>
                <c:pt idx="18">
                  <c:v>37.392000000000017</c:v>
                </c:pt>
                <c:pt idx="19">
                  <c:v>25.536000000000023</c:v>
                </c:pt>
                <c:pt idx="20">
                  <c:v>15.503999999999994</c:v>
                </c:pt>
                <c:pt idx="21">
                  <c:v>6.3839999999999852</c:v>
                </c:pt>
                <c:pt idx="22">
                  <c:v>-0.9119999999999806</c:v>
                </c:pt>
                <c:pt idx="23">
                  <c:v>-6.3839999999999852</c:v>
                </c:pt>
              </c:numCache>
            </c:numRef>
          </c:val>
        </c:ser>
        <c:ser>
          <c:idx val="5"/>
          <c:order val="5"/>
          <c:tx>
            <c:v>Parede Sul</c:v>
          </c:tx>
          <c:spPr>
            <a:ln w="38100" cmpd="dbl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dados_horários!$A$9:$A$32</c:f>
              <c:numCache>
                <c:formatCode>hh:mm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0.16666666666666699</c:v>
                </c:pt>
                <c:pt idx="4">
                  <c:v>0.20833333333333401</c:v>
                </c:pt>
                <c:pt idx="5">
                  <c:v>0.25</c:v>
                </c:pt>
                <c:pt idx="6">
                  <c:v>0.29166666666666702</c:v>
                </c:pt>
                <c:pt idx="7">
                  <c:v>0.33333333333333398</c:v>
                </c:pt>
                <c:pt idx="8">
                  <c:v>0.375</c:v>
                </c:pt>
                <c:pt idx="9">
                  <c:v>0.41666666666666702</c:v>
                </c:pt>
                <c:pt idx="10">
                  <c:v>0.45833333333333398</c:v>
                </c:pt>
                <c:pt idx="11">
                  <c:v>0.5</c:v>
                </c:pt>
                <c:pt idx="12">
                  <c:v>0.54166666666666696</c:v>
                </c:pt>
                <c:pt idx="13">
                  <c:v>0.58333333333333404</c:v>
                </c:pt>
                <c:pt idx="14">
                  <c:v>0.625</c:v>
                </c:pt>
                <c:pt idx="15">
                  <c:v>0.66666666666666696</c:v>
                </c:pt>
                <c:pt idx="16">
                  <c:v>0.70833333333333404</c:v>
                </c:pt>
                <c:pt idx="17">
                  <c:v>0.75</c:v>
                </c:pt>
                <c:pt idx="18">
                  <c:v>0.79166666666666696</c:v>
                </c:pt>
                <c:pt idx="19">
                  <c:v>0.83333333333333404</c:v>
                </c:pt>
                <c:pt idx="20">
                  <c:v>0.875</c:v>
                </c:pt>
                <c:pt idx="21">
                  <c:v>0.91666666666666696</c:v>
                </c:pt>
                <c:pt idx="22">
                  <c:v>0.95833333333333404</c:v>
                </c:pt>
                <c:pt idx="23">
                  <c:v>1</c:v>
                </c:pt>
              </c:numCache>
            </c:numRef>
          </c:cat>
          <c:val>
            <c:numRef>
              <c:f>dados_horários!$H$9:$H$32</c:f>
              <c:numCache>
                <c:formatCode>0</c:formatCode>
                <c:ptCount val="24"/>
                <c:pt idx="0">
                  <c:v>-24.960000000000022</c:v>
                </c:pt>
                <c:pt idx="1">
                  <c:v>-50.863999999999976</c:v>
                </c:pt>
                <c:pt idx="2">
                  <c:v>-62.831999999999994</c:v>
                </c:pt>
                <c:pt idx="3">
                  <c:v>-71.808000000000064</c:v>
                </c:pt>
                <c:pt idx="4">
                  <c:v>-74.8</c:v>
                </c:pt>
                <c:pt idx="5">
                  <c:v>240.744</c:v>
                </c:pt>
                <c:pt idx="6">
                  <c:v>355.98399999999998</c:v>
                </c:pt>
                <c:pt idx="7">
                  <c:v>284.81200000000001</c:v>
                </c:pt>
                <c:pt idx="8">
                  <c:v>175.46800000000002</c:v>
                </c:pt>
                <c:pt idx="9">
                  <c:v>194.18800000000002</c:v>
                </c:pt>
                <c:pt idx="10">
                  <c:v>255.95199999999994</c:v>
                </c:pt>
                <c:pt idx="11">
                  <c:v>297.28400000000005</c:v>
                </c:pt>
                <c:pt idx="12">
                  <c:v>339.72800000000007</c:v>
                </c:pt>
                <c:pt idx="13">
                  <c:v>352.76400000000012</c:v>
                </c:pt>
                <c:pt idx="14">
                  <c:v>394.43999999999994</c:v>
                </c:pt>
                <c:pt idx="15">
                  <c:v>527.1640000000001</c:v>
                </c:pt>
                <c:pt idx="16">
                  <c:v>604.31999999999994</c:v>
                </c:pt>
                <c:pt idx="17">
                  <c:v>471.12800000000004</c:v>
                </c:pt>
                <c:pt idx="18">
                  <c:v>122.67200000000005</c:v>
                </c:pt>
                <c:pt idx="19">
                  <c:v>83.776000000000067</c:v>
                </c:pt>
                <c:pt idx="20">
                  <c:v>50.863999999999976</c:v>
                </c:pt>
                <c:pt idx="21">
                  <c:v>20.943999999999953</c:v>
                </c:pt>
                <c:pt idx="22">
                  <c:v>-2.991999999999936</c:v>
                </c:pt>
                <c:pt idx="23">
                  <c:v>-20.943999999999953</c:v>
                </c:pt>
              </c:numCache>
            </c:numRef>
          </c:val>
          <c:smooth val="1"/>
        </c:ser>
        <c:ser>
          <c:idx val="6"/>
          <c:order val="6"/>
          <c:tx>
            <c:v>Janela Sul</c:v>
          </c:tx>
          <c:spPr>
            <a:ln w="44450" cmpd="dbl">
              <a:solidFill>
                <a:srgbClr val="99FF33"/>
              </a:solidFill>
              <a:prstDash val="solid"/>
            </a:ln>
          </c:spPr>
          <c:marker>
            <c:symbol val="none"/>
          </c:marker>
          <c:cat>
            <c:numRef>
              <c:f>dados_horários!$A$9:$A$32</c:f>
              <c:numCache>
                <c:formatCode>hh:mm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0.16666666666666699</c:v>
                </c:pt>
                <c:pt idx="4">
                  <c:v>0.20833333333333401</c:v>
                </c:pt>
                <c:pt idx="5">
                  <c:v>0.25</c:v>
                </c:pt>
                <c:pt idx="6">
                  <c:v>0.29166666666666702</c:v>
                </c:pt>
                <c:pt idx="7">
                  <c:v>0.33333333333333398</c:v>
                </c:pt>
                <c:pt idx="8">
                  <c:v>0.375</c:v>
                </c:pt>
                <c:pt idx="9">
                  <c:v>0.41666666666666702</c:v>
                </c:pt>
                <c:pt idx="10">
                  <c:v>0.45833333333333398</c:v>
                </c:pt>
                <c:pt idx="11">
                  <c:v>0.5</c:v>
                </c:pt>
                <c:pt idx="12">
                  <c:v>0.54166666666666696</c:v>
                </c:pt>
                <c:pt idx="13">
                  <c:v>0.58333333333333404</c:v>
                </c:pt>
                <c:pt idx="14">
                  <c:v>0.625</c:v>
                </c:pt>
                <c:pt idx="15">
                  <c:v>0.66666666666666696</c:v>
                </c:pt>
                <c:pt idx="16">
                  <c:v>0.70833333333333404</c:v>
                </c:pt>
                <c:pt idx="17">
                  <c:v>0.75</c:v>
                </c:pt>
                <c:pt idx="18">
                  <c:v>0.79166666666666696</c:v>
                </c:pt>
                <c:pt idx="19">
                  <c:v>0.83333333333333404</c:v>
                </c:pt>
                <c:pt idx="20">
                  <c:v>0.875</c:v>
                </c:pt>
                <c:pt idx="21">
                  <c:v>0.91666666666666696</c:v>
                </c:pt>
                <c:pt idx="22">
                  <c:v>0.95833333333333404</c:v>
                </c:pt>
                <c:pt idx="23">
                  <c:v>1</c:v>
                </c:pt>
              </c:numCache>
            </c:numRef>
          </c:cat>
          <c:val>
            <c:numRef>
              <c:f>dados_horários!$I$9:$I$32</c:f>
              <c:numCache>
                <c:formatCode>0</c:formatCode>
                <c:ptCount val="24"/>
                <c:pt idx="0">
                  <c:v>-10.94400000000001</c:v>
                </c:pt>
                <c:pt idx="1">
                  <c:v>-15.503999999999994</c:v>
                </c:pt>
                <c:pt idx="2">
                  <c:v>-19.151999999999997</c:v>
                </c:pt>
                <c:pt idx="3">
                  <c:v>-21.888000000000019</c:v>
                </c:pt>
                <c:pt idx="4">
                  <c:v>-22.8</c:v>
                </c:pt>
                <c:pt idx="5">
                  <c:v>214.744</c:v>
                </c:pt>
                <c:pt idx="6">
                  <c:v>295.66399999999999</c:v>
                </c:pt>
                <c:pt idx="7">
                  <c:v>229.172</c:v>
                </c:pt>
                <c:pt idx="8">
                  <c:v>128.148</c:v>
                </c:pt>
                <c:pt idx="9">
                  <c:v>121.90799999999999</c:v>
                </c:pt>
                <c:pt idx="10">
                  <c:v>145.71199999999999</c:v>
                </c:pt>
                <c:pt idx="11">
                  <c:v>155.32400000000001</c:v>
                </c:pt>
                <c:pt idx="12">
                  <c:v>171.24800000000002</c:v>
                </c:pt>
                <c:pt idx="13">
                  <c:v>170.24400000000003</c:v>
                </c:pt>
                <c:pt idx="14">
                  <c:v>197.88</c:v>
                </c:pt>
                <c:pt idx="15">
                  <c:v>303.04399999999998</c:v>
                </c:pt>
                <c:pt idx="16">
                  <c:v>371.35999999999996</c:v>
                </c:pt>
                <c:pt idx="17">
                  <c:v>284.96800000000002</c:v>
                </c:pt>
                <c:pt idx="18">
                  <c:v>37.392000000000017</c:v>
                </c:pt>
                <c:pt idx="19">
                  <c:v>25.536000000000023</c:v>
                </c:pt>
                <c:pt idx="20">
                  <c:v>15.503999999999994</c:v>
                </c:pt>
                <c:pt idx="21">
                  <c:v>6.3839999999999852</c:v>
                </c:pt>
                <c:pt idx="22">
                  <c:v>-0.9119999999999806</c:v>
                </c:pt>
                <c:pt idx="23">
                  <c:v>-6.3839999999999852</c:v>
                </c:pt>
              </c:numCache>
            </c:numRef>
          </c:val>
          <c:smooth val="1"/>
        </c:ser>
        <c:ser>
          <c:idx val="7"/>
          <c:order val="7"/>
          <c:tx>
            <c:v>Parede Oeste</c:v>
          </c:tx>
          <c:spPr>
            <a:ln w="317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dados_horários!$A$9:$A$32</c:f>
              <c:numCache>
                <c:formatCode>hh:mm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0.16666666666666699</c:v>
                </c:pt>
                <c:pt idx="4">
                  <c:v>0.20833333333333401</c:v>
                </c:pt>
                <c:pt idx="5">
                  <c:v>0.25</c:v>
                </c:pt>
                <c:pt idx="6">
                  <c:v>0.29166666666666702</c:v>
                </c:pt>
                <c:pt idx="7">
                  <c:v>0.33333333333333398</c:v>
                </c:pt>
                <c:pt idx="8">
                  <c:v>0.375</c:v>
                </c:pt>
                <c:pt idx="9">
                  <c:v>0.41666666666666702</c:v>
                </c:pt>
                <c:pt idx="10">
                  <c:v>0.45833333333333398</c:v>
                </c:pt>
                <c:pt idx="11">
                  <c:v>0.5</c:v>
                </c:pt>
                <c:pt idx="12">
                  <c:v>0.54166666666666696</c:v>
                </c:pt>
                <c:pt idx="13">
                  <c:v>0.58333333333333404</c:v>
                </c:pt>
                <c:pt idx="14">
                  <c:v>0.625</c:v>
                </c:pt>
                <c:pt idx="15">
                  <c:v>0.66666666666666696</c:v>
                </c:pt>
                <c:pt idx="16">
                  <c:v>0.70833333333333404</c:v>
                </c:pt>
                <c:pt idx="17">
                  <c:v>0.75</c:v>
                </c:pt>
                <c:pt idx="18">
                  <c:v>0.79166666666666696</c:v>
                </c:pt>
                <c:pt idx="19">
                  <c:v>0.83333333333333404</c:v>
                </c:pt>
                <c:pt idx="20">
                  <c:v>0.875</c:v>
                </c:pt>
                <c:pt idx="21">
                  <c:v>0.91666666666666696</c:v>
                </c:pt>
                <c:pt idx="22">
                  <c:v>0.95833333333333404</c:v>
                </c:pt>
                <c:pt idx="23">
                  <c:v>1</c:v>
                </c:pt>
              </c:numCache>
            </c:numRef>
          </c:cat>
          <c:val>
            <c:numRef>
              <c:f>dados_horários!$J$9:$J$32</c:f>
              <c:numCache>
                <c:formatCode>0</c:formatCode>
                <c:ptCount val="24"/>
                <c:pt idx="0">
                  <c:v>-53.760000000000048</c:v>
                </c:pt>
                <c:pt idx="1">
                  <c:v>-91.663999999999959</c:v>
                </c:pt>
                <c:pt idx="2">
                  <c:v>-113.23199999999999</c:v>
                </c:pt>
                <c:pt idx="3">
                  <c:v>-129.40800000000013</c:v>
                </c:pt>
                <c:pt idx="4">
                  <c:v>-134.80000000000001</c:v>
                </c:pt>
                <c:pt idx="5">
                  <c:v>-54.515999999999991</c:v>
                </c:pt>
                <c:pt idx="6">
                  <c:v>22.483999999999881</c:v>
                </c:pt>
                <c:pt idx="7">
                  <c:v>90.472000000000079</c:v>
                </c:pt>
                <c:pt idx="8">
                  <c:v>182.80800000000002</c:v>
                </c:pt>
                <c:pt idx="9">
                  <c:v>277.58800000000008</c:v>
                </c:pt>
                <c:pt idx="10">
                  <c:v>383.15199999999993</c:v>
                </c:pt>
                <c:pt idx="11">
                  <c:v>461.08400000000006</c:v>
                </c:pt>
                <c:pt idx="12">
                  <c:v>1204.1079999999997</c:v>
                </c:pt>
                <c:pt idx="13">
                  <c:v>1825.4839999999999</c:v>
                </c:pt>
                <c:pt idx="14">
                  <c:v>2258.6600000000003</c:v>
                </c:pt>
                <c:pt idx="15">
                  <c:v>2375.924</c:v>
                </c:pt>
                <c:pt idx="16">
                  <c:v>2110.2199999999998</c:v>
                </c:pt>
                <c:pt idx="17">
                  <c:v>1236.3679999999999</c:v>
                </c:pt>
                <c:pt idx="18">
                  <c:v>221.07200000000009</c:v>
                </c:pt>
                <c:pt idx="19">
                  <c:v>150.97600000000014</c:v>
                </c:pt>
                <c:pt idx="20">
                  <c:v>91.663999999999959</c:v>
                </c:pt>
                <c:pt idx="21">
                  <c:v>37.743999999999915</c:v>
                </c:pt>
                <c:pt idx="22">
                  <c:v>-5.3919999999998849</c:v>
                </c:pt>
                <c:pt idx="23">
                  <c:v>-37.743999999999915</c:v>
                </c:pt>
              </c:numCache>
            </c:numRef>
          </c:val>
          <c:smooth val="1"/>
        </c:ser>
        <c:ser>
          <c:idx val="8"/>
          <c:order val="8"/>
          <c:tx>
            <c:v>Janela Oeste</c:v>
          </c:tx>
          <c:spPr>
            <a:ln w="31750">
              <a:solidFill>
                <a:srgbClr val="99FF33"/>
              </a:solidFill>
              <a:prstDash val="sysDash"/>
            </a:ln>
          </c:spPr>
          <c:marker>
            <c:symbol val="none"/>
          </c:marker>
          <c:cat>
            <c:numRef>
              <c:f>dados_horários!$A$9:$A$32</c:f>
              <c:numCache>
                <c:formatCode>hh:mm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0.16666666666666699</c:v>
                </c:pt>
                <c:pt idx="4">
                  <c:v>0.20833333333333401</c:v>
                </c:pt>
                <c:pt idx="5">
                  <c:v>0.25</c:v>
                </c:pt>
                <c:pt idx="6">
                  <c:v>0.29166666666666702</c:v>
                </c:pt>
                <c:pt idx="7">
                  <c:v>0.33333333333333398</c:v>
                </c:pt>
                <c:pt idx="8">
                  <c:v>0.375</c:v>
                </c:pt>
                <c:pt idx="9">
                  <c:v>0.41666666666666702</c:v>
                </c:pt>
                <c:pt idx="10">
                  <c:v>0.45833333333333398</c:v>
                </c:pt>
                <c:pt idx="11">
                  <c:v>0.5</c:v>
                </c:pt>
                <c:pt idx="12">
                  <c:v>0.54166666666666696</c:v>
                </c:pt>
                <c:pt idx="13">
                  <c:v>0.58333333333333404</c:v>
                </c:pt>
                <c:pt idx="14">
                  <c:v>0.625</c:v>
                </c:pt>
                <c:pt idx="15">
                  <c:v>0.66666666666666696</c:v>
                </c:pt>
                <c:pt idx="16">
                  <c:v>0.70833333333333404</c:v>
                </c:pt>
                <c:pt idx="17">
                  <c:v>0.75</c:v>
                </c:pt>
                <c:pt idx="18">
                  <c:v>0.79166666666666696</c:v>
                </c:pt>
                <c:pt idx="19">
                  <c:v>0.83333333333333404</c:v>
                </c:pt>
                <c:pt idx="20">
                  <c:v>0.875</c:v>
                </c:pt>
                <c:pt idx="21">
                  <c:v>0.91666666666666696</c:v>
                </c:pt>
                <c:pt idx="22">
                  <c:v>0.95833333333333404</c:v>
                </c:pt>
                <c:pt idx="23">
                  <c:v>1</c:v>
                </c:pt>
              </c:numCache>
            </c:numRef>
          </c:cat>
          <c:val>
            <c:numRef>
              <c:f>dados_horários!$K$9:$K$32</c:f>
              <c:numCache>
                <c:formatCode>0</c:formatCode>
                <c:ptCount val="24"/>
                <c:pt idx="0">
                  <c:v>-10.94400000000001</c:v>
                </c:pt>
                <c:pt idx="1">
                  <c:v>-15.503999999999994</c:v>
                </c:pt>
                <c:pt idx="2">
                  <c:v>-19.151999999999997</c:v>
                </c:pt>
                <c:pt idx="3">
                  <c:v>-21.888000000000019</c:v>
                </c:pt>
                <c:pt idx="4">
                  <c:v>-22.8</c:v>
                </c:pt>
                <c:pt idx="5">
                  <c:v>20.524000000000001</c:v>
                </c:pt>
                <c:pt idx="6">
                  <c:v>54.963999999999984</c:v>
                </c:pt>
                <c:pt idx="7">
                  <c:v>74.792000000000016</c:v>
                </c:pt>
                <c:pt idx="8">
                  <c:v>99.927999999999997</c:v>
                </c:pt>
                <c:pt idx="9">
                  <c:v>121.90799999999999</c:v>
                </c:pt>
                <c:pt idx="10">
                  <c:v>145.71199999999999</c:v>
                </c:pt>
                <c:pt idx="11">
                  <c:v>155.32400000000001</c:v>
                </c:pt>
                <c:pt idx="12">
                  <c:v>571.30799999999999</c:v>
                </c:pt>
                <c:pt idx="13">
                  <c:v>923.8839999999999</c:v>
                </c:pt>
                <c:pt idx="14">
                  <c:v>1175.6200000000001</c:v>
                </c:pt>
                <c:pt idx="15">
                  <c:v>1252.5639999999999</c:v>
                </c:pt>
                <c:pt idx="16">
                  <c:v>1110.06</c:v>
                </c:pt>
                <c:pt idx="17">
                  <c:v>613.64800000000002</c:v>
                </c:pt>
                <c:pt idx="18">
                  <c:v>37.392000000000017</c:v>
                </c:pt>
                <c:pt idx="19">
                  <c:v>25.536000000000023</c:v>
                </c:pt>
                <c:pt idx="20">
                  <c:v>15.503999999999994</c:v>
                </c:pt>
                <c:pt idx="21">
                  <c:v>6.3839999999999852</c:v>
                </c:pt>
                <c:pt idx="22">
                  <c:v>-0.9119999999999806</c:v>
                </c:pt>
                <c:pt idx="23">
                  <c:v>-6.3839999999999852</c:v>
                </c:pt>
              </c:numCache>
            </c:numRef>
          </c:val>
          <c:smooth val="1"/>
        </c:ser>
        <c:marker val="1"/>
        <c:axId val="95936512"/>
        <c:axId val="95938048"/>
      </c:lineChart>
      <c:catAx>
        <c:axId val="95936512"/>
        <c:scaling>
          <c:orientation val="minMax"/>
        </c:scaling>
        <c:axPos val="b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hh:mm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5938048"/>
        <c:crosses val="autoZero"/>
        <c:auto val="1"/>
        <c:lblAlgn val="ctr"/>
        <c:lblOffset val="100"/>
        <c:tickLblSkip val="2"/>
        <c:tickMarkSkip val="1"/>
      </c:catAx>
      <c:valAx>
        <c:axId val="95938048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Fluxo de calor (W)</a:t>
                </a:r>
              </a:p>
            </c:rich>
          </c:tx>
          <c:layout>
            <c:manualLayout>
              <c:xMode val="edge"/>
              <c:yMode val="edge"/>
              <c:x val="2.2058823529411794E-2"/>
              <c:y val="0.37771739130434828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593651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23529411764706"/>
          <c:y val="0.18750000000000011"/>
          <c:w val="0.17500000000000004"/>
          <c:h val="0.71739130434782605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0.98425196899999956" l="0.78740157499999996" r="0.78740157499999996" t="0.98425196899999956" header="0.49212598500000038" footer="0.4921259850000003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76200</xdr:rowOff>
    </xdr:from>
    <xdr:to>
      <xdr:col>5</xdr:col>
      <xdr:colOff>171450</xdr:colOff>
      <xdr:row>13</xdr:row>
      <xdr:rowOff>133350</xdr:rowOff>
    </xdr:to>
    <xdr:grpSp>
      <xdr:nvGrpSpPr>
        <xdr:cNvPr id="1050" name="Group 24"/>
        <xdr:cNvGrpSpPr>
          <a:grpSpLocks/>
        </xdr:cNvGrpSpPr>
      </xdr:nvGrpSpPr>
      <xdr:grpSpPr bwMode="auto">
        <a:xfrm>
          <a:off x="2924735" y="1241612"/>
          <a:ext cx="877421" cy="998444"/>
          <a:chOff x="296" y="129"/>
          <a:chExt cx="92" cy="91"/>
        </a:xfrm>
      </xdr:grpSpPr>
      <xdr:sp macro="" textlink="">
        <xdr:nvSpPr>
          <xdr:cNvPr id="1056" name="Rectangle 1"/>
          <xdr:cNvSpPr>
            <a:spLocks noChangeArrowheads="1"/>
          </xdr:cNvSpPr>
        </xdr:nvSpPr>
        <xdr:spPr bwMode="auto">
          <a:xfrm>
            <a:off x="296" y="129"/>
            <a:ext cx="92" cy="9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301" y="200"/>
            <a:ext cx="78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CO" sz="1000" b="0" i="0" strike="noStrike">
                <a:solidFill>
                  <a:srgbClr val="000000"/>
                </a:solidFill>
                <a:latin typeface="Arial"/>
                <a:cs typeface="Arial"/>
              </a:rPr>
              <a:t>Largura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358" y="133"/>
            <a:ext cx="21" cy="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270" wrap="square" lIns="27432" tIns="22860" rIns="0" bIns="0" anchor="t" upright="1"/>
          <a:lstStyle/>
          <a:p>
            <a:pPr algn="r" rtl="0">
              <a:defRPr sz="1000"/>
            </a:pPr>
            <a:r>
              <a:rPr lang="es-CO" sz="1000" b="0" i="0" strike="noStrike">
                <a:solidFill>
                  <a:srgbClr val="000000"/>
                </a:solidFill>
                <a:latin typeface="Arial"/>
                <a:cs typeface="Arial"/>
              </a:rPr>
              <a:t>Comprimento</a:t>
            </a:r>
          </a:p>
        </xdr:txBody>
      </xdr:sp>
    </xdr:grpSp>
    <xdr:clientData/>
  </xdr:twoCellAnchor>
  <xdr:twoCellAnchor>
    <xdr:from>
      <xdr:col>3</xdr:col>
      <xdr:colOff>257175</xdr:colOff>
      <xdr:row>7</xdr:row>
      <xdr:rowOff>85725</xdr:rowOff>
    </xdr:from>
    <xdr:to>
      <xdr:col>3</xdr:col>
      <xdr:colOff>581025</xdr:colOff>
      <xdr:row>13</xdr:row>
      <xdr:rowOff>0</xdr:rowOff>
    </xdr:to>
    <xdr:grpSp>
      <xdr:nvGrpSpPr>
        <xdr:cNvPr id="1051" name="Group 25"/>
        <xdr:cNvGrpSpPr>
          <a:grpSpLocks/>
        </xdr:cNvGrpSpPr>
      </xdr:nvGrpSpPr>
      <xdr:grpSpPr bwMode="auto">
        <a:xfrm>
          <a:off x="2352675" y="1251137"/>
          <a:ext cx="323850" cy="855569"/>
          <a:chOff x="246" y="135"/>
          <a:chExt cx="34" cy="93"/>
        </a:xfrm>
      </xdr:grpSpPr>
      <xdr:sp macro="" textlink="">
        <xdr:nvSpPr>
          <xdr:cNvPr id="1053" name="Line 4"/>
          <xdr:cNvSpPr>
            <a:spLocks noChangeShapeType="1"/>
          </xdr:cNvSpPr>
        </xdr:nvSpPr>
        <xdr:spPr bwMode="auto">
          <a:xfrm>
            <a:off x="262" y="155"/>
            <a:ext cx="0" cy="7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/>
          </a:ln>
        </xdr:spPr>
      </xdr:sp>
      <xdr:sp macro="" textlink="">
        <xdr:nvSpPr>
          <xdr:cNvPr id="1054" name="Oval 5"/>
          <xdr:cNvSpPr>
            <a:spLocks noChangeArrowheads="1"/>
          </xdr:cNvSpPr>
        </xdr:nvSpPr>
        <xdr:spPr bwMode="auto">
          <a:xfrm>
            <a:off x="246" y="178"/>
            <a:ext cx="34" cy="3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255" y="135"/>
            <a:ext cx="23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CO" sz="1000" b="0" i="0" strike="noStrike">
                <a:solidFill>
                  <a:srgbClr val="000000"/>
                </a:solidFill>
                <a:latin typeface="Arial"/>
                <a:cs typeface="Arial"/>
              </a:rPr>
              <a:t>N</a:t>
            </a:r>
          </a:p>
        </xdr:txBody>
      </xdr:sp>
    </xdr:grpSp>
    <xdr:clientData/>
  </xdr:twoCellAnchor>
  <xdr:twoCellAnchor>
    <xdr:from>
      <xdr:col>6</xdr:col>
      <xdr:colOff>85725</xdr:colOff>
      <xdr:row>16</xdr:row>
      <xdr:rowOff>133350</xdr:rowOff>
    </xdr:from>
    <xdr:to>
      <xdr:col>11</xdr:col>
      <xdr:colOff>381000</xdr:colOff>
      <xdr:row>29</xdr:row>
      <xdr:rowOff>0</xdr:rowOff>
    </xdr:to>
    <xdr:graphicFrame macro="">
      <xdr:nvGraphicFramePr>
        <xdr:cNvPr id="105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34</xdr:row>
      <xdr:rowOff>19050</xdr:rowOff>
    </xdr:from>
    <xdr:to>
      <xdr:col>11</xdr:col>
      <xdr:colOff>76200</xdr:colOff>
      <xdr:row>55</xdr:row>
      <xdr:rowOff>123825</xdr:rowOff>
    </xdr:to>
    <xdr:graphicFrame macro="">
      <xdr:nvGraphicFramePr>
        <xdr:cNvPr id="30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topLeftCell="A2" zoomScale="85" zoomScaleNormal="85" workbookViewId="0">
      <selection activeCell="Q20" sqref="Q20"/>
    </sheetView>
  </sheetViews>
  <sheetFormatPr defaultRowHeight="12.75"/>
  <cols>
    <col min="1" max="1" width="14.42578125" style="3" customWidth="1"/>
    <col min="2" max="2" width="7.85546875" style="3" customWidth="1"/>
    <col min="3" max="3" width="9" style="3" customWidth="1"/>
    <col min="4" max="4" width="12.42578125" style="3" customWidth="1"/>
    <col min="5" max="5" width="10.5703125" style="3" customWidth="1"/>
    <col min="6" max="6" width="13.5703125" style="3" customWidth="1"/>
    <col min="7" max="16384" width="9.140625" style="3"/>
  </cols>
  <sheetData>
    <row r="2" spans="1:11" ht="18">
      <c r="A2" s="39" t="s">
        <v>61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>
      <c r="A3" s="40" t="s">
        <v>40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>
      <c r="A4" s="14"/>
    </row>
    <row r="5" spans="1:11">
      <c r="A5" s="37" t="s">
        <v>59</v>
      </c>
      <c r="B5" s="38" t="s">
        <v>74</v>
      </c>
      <c r="C5" s="38"/>
      <c r="D5" s="38"/>
      <c r="E5" s="38"/>
      <c r="F5" s="38"/>
      <c r="G5" s="38"/>
      <c r="H5" s="38"/>
      <c r="I5" s="38"/>
      <c r="J5" s="38"/>
    </row>
    <row r="7" spans="1:11">
      <c r="A7" s="28" t="s">
        <v>37</v>
      </c>
      <c r="B7" s="29"/>
      <c r="C7" s="29"/>
      <c r="D7" s="28" t="s">
        <v>60</v>
      </c>
      <c r="E7" s="29"/>
      <c r="F7" s="29"/>
    </row>
    <row r="8" spans="1:11">
      <c r="A8" s="10" t="s">
        <v>0</v>
      </c>
      <c r="B8" s="55">
        <v>10</v>
      </c>
    </row>
    <row r="9" spans="1:11">
      <c r="A9" s="10" t="s">
        <v>1</v>
      </c>
      <c r="B9" s="55">
        <v>5</v>
      </c>
    </row>
    <row r="10" spans="1:11">
      <c r="A10" s="10" t="s">
        <v>2</v>
      </c>
      <c r="B10" s="55">
        <v>3</v>
      </c>
      <c r="G10" s="21" t="str">
        <f>IF(B24=1,"ERRO! VERIFIQUE ÁREA DE JANELAS","")</f>
        <v/>
      </c>
    </row>
    <row r="11" spans="1:11">
      <c r="A11" s="10" t="s">
        <v>65</v>
      </c>
      <c r="B11" s="56">
        <v>30</v>
      </c>
    </row>
    <row r="12" spans="1:11">
      <c r="A12" s="10" t="s">
        <v>64</v>
      </c>
      <c r="B12" s="56">
        <v>8</v>
      </c>
    </row>
    <row r="13" spans="1:11">
      <c r="A13" s="10" t="s">
        <v>5</v>
      </c>
      <c r="B13" s="56">
        <v>24</v>
      </c>
    </row>
    <row r="14" spans="1:11">
      <c r="A14" s="10" t="s">
        <v>33</v>
      </c>
      <c r="B14" s="19">
        <v>10</v>
      </c>
    </row>
    <row r="15" spans="1:11">
      <c r="A15" s="10"/>
    </row>
    <row r="17" spans="1:6">
      <c r="A17" s="30" t="s">
        <v>38</v>
      </c>
      <c r="B17" s="31" t="s">
        <v>4</v>
      </c>
      <c r="C17" s="32" t="s">
        <v>6</v>
      </c>
      <c r="D17" s="31" t="s">
        <v>12</v>
      </c>
      <c r="E17" s="31" t="s">
        <v>32</v>
      </c>
      <c r="F17" s="31" t="s">
        <v>39</v>
      </c>
    </row>
    <row r="18" spans="1:6" ht="18" customHeight="1">
      <c r="A18" s="3" t="s">
        <v>3</v>
      </c>
      <c r="B18" s="15">
        <f>B8*B9</f>
        <v>50</v>
      </c>
      <c r="C18" s="17">
        <v>1</v>
      </c>
      <c r="D18" s="26">
        <v>2</v>
      </c>
      <c r="E18" s="6">
        <f>D18*B18*($B$11+VLOOKUP(C18,dados_auxiliares!A18:B21,2,FALSE)*VLOOKUP($B$14,dados_auxiliares!$A$3:$G$15,3,FALSE)*0.04-4-$B$13)</f>
        <v>1164.7999999999997</v>
      </c>
      <c r="F18" s="7">
        <f>E18/$E$32</f>
        <v>0.24603010320253121</v>
      </c>
    </row>
    <row r="19" spans="1:6" ht="18" customHeight="1">
      <c r="A19" s="3" t="s">
        <v>7</v>
      </c>
      <c r="B19" s="15">
        <f>B9*B10-B26</f>
        <v>13</v>
      </c>
      <c r="C19" s="17">
        <v>2</v>
      </c>
      <c r="D19" s="26">
        <v>2</v>
      </c>
      <c r="E19" s="6">
        <f>D19*B19*($B$11+VLOOKUP(C19,dados_auxiliares!A18:B21,2,FALSE)*VLOOKUP($B$14,dados_auxiliares!$A$3:$G$15,4,FALSE)*0.04-$B$13)</f>
        <v>186.16</v>
      </c>
      <c r="F19" s="7">
        <f>E19/$E$32</f>
        <v>3.9320882565404551E-2</v>
      </c>
    </row>
    <row r="20" spans="1:6" ht="18" customHeight="1">
      <c r="A20" s="3" t="s">
        <v>8</v>
      </c>
      <c r="B20" s="15">
        <f>B8*B10-B27</f>
        <v>28</v>
      </c>
      <c r="C20" s="17">
        <v>2</v>
      </c>
      <c r="D20" s="26">
        <v>2</v>
      </c>
      <c r="E20" s="6">
        <f>D20*B20*($B$11+VLOOKUP(C20,dados_auxiliares!A18:B21,2,FALSE)*VLOOKUP($B$14,dados_auxiliares!$A$3:$G$15,5,FALSE)*0.04-$B$13)</f>
        <v>400.96000000000004</v>
      </c>
      <c r="F20" s="7">
        <f>E20/$E$32</f>
        <v>8.4691131679332884E-2</v>
      </c>
    </row>
    <row r="21" spans="1:6" ht="18" customHeight="1">
      <c r="A21" s="3" t="s">
        <v>9</v>
      </c>
      <c r="B21" s="15">
        <f>B9*B10-B28</f>
        <v>13</v>
      </c>
      <c r="C21" s="17">
        <v>2</v>
      </c>
      <c r="D21" s="26">
        <v>2</v>
      </c>
      <c r="E21" s="6">
        <f>D21*B21*($B$11+VLOOKUP(C21,dados_auxiliares!A18:B21,2,FALSE)*VLOOKUP($B$14,dados_auxiliares!$A$3:$G$15,6,FALSE)*0.04-$B$13)</f>
        <v>196.55999999999997</v>
      </c>
      <c r="F21" s="7">
        <f>E21/$E$32</f>
        <v>4.1517579915427143E-2</v>
      </c>
    </row>
    <row r="22" spans="1:6" ht="18" customHeight="1">
      <c r="A22" s="11" t="s">
        <v>10</v>
      </c>
      <c r="B22" s="16">
        <f>B8*B10-B29</f>
        <v>28</v>
      </c>
      <c r="C22" s="18">
        <v>2</v>
      </c>
      <c r="D22" s="26">
        <v>2</v>
      </c>
      <c r="E22" s="12">
        <f>D22*B22*($B$11+VLOOKUP(C22,dados_auxiliares!A18:B21,2,FALSE)*VLOOKUP($B$14,dados_auxiliares!$A$3:$G$15,7,FALSE)*0.04-$B$13)</f>
        <v>1083.0400000000002</v>
      </c>
      <c r="F22" s="13">
        <f>E22/$E$32</f>
        <v>0.22876068249696901</v>
      </c>
    </row>
    <row r="23" spans="1:6">
      <c r="A23" s="10" t="s">
        <v>58</v>
      </c>
      <c r="B23" s="5"/>
      <c r="C23" s="5"/>
      <c r="D23" s="5"/>
      <c r="E23" s="8">
        <f>SUM(E18:E22)</f>
        <v>3031.52</v>
      </c>
      <c r="F23" s="9"/>
    </row>
    <row r="24" spans="1:6">
      <c r="A24" s="10"/>
      <c r="B24" s="22">
        <f>IF(B18&lt;0,1,IF(B19&lt;0,1,IF(B20&lt;0,1,IF(B21&lt;0,1,IF(B22&lt;0,1,0)))))</f>
        <v>0</v>
      </c>
      <c r="C24" s="5"/>
      <c r="D24" s="5"/>
      <c r="E24" s="8"/>
      <c r="F24" s="9"/>
    </row>
    <row r="25" spans="1:6">
      <c r="A25" s="30" t="s">
        <v>56</v>
      </c>
      <c r="B25" s="30" t="s">
        <v>4</v>
      </c>
      <c r="C25" s="30" t="s">
        <v>47</v>
      </c>
      <c r="D25" s="33"/>
      <c r="E25" s="31" t="s">
        <v>32</v>
      </c>
      <c r="F25" s="31" t="s">
        <v>39</v>
      </c>
    </row>
    <row r="26" spans="1:6" ht="18" customHeight="1">
      <c r="A26" s="3" t="s">
        <v>41</v>
      </c>
      <c r="B26" s="57">
        <v>2</v>
      </c>
      <c r="C26" s="19">
        <v>2</v>
      </c>
      <c r="E26" s="6">
        <f>(VLOOKUP(C26,dados_auxiliares!$A$24:$D$31,4,FALSE)*($B$11-$B$13)+VLOOKUP(C26,dados_auxiliares!$A$24:$D$31,3,FALSE)*VLOOKUP($B$14,dados_auxiliares!$A$3:$G$15,4,FALSE))*B26</f>
        <v>164.68</v>
      </c>
      <c r="F26" s="7">
        <f>E26/$E$32</f>
        <v>3.4783857654011721E-2</v>
      </c>
    </row>
    <row r="27" spans="1:6" ht="18" customHeight="1">
      <c r="A27" s="3" t="s">
        <v>42</v>
      </c>
      <c r="B27" s="57">
        <v>2</v>
      </c>
      <c r="C27" s="19">
        <v>2</v>
      </c>
      <c r="E27" s="6">
        <f>(VLOOKUP(C27,dados_auxiliares!$A$24:$D$31,4,FALSE)*($B$11-$B$13)+VLOOKUP(C27,dados_auxiliares!$A$24:$D$31,3,FALSE)*VLOOKUP($B$14,dados_auxiliares!$A$3:$G$15,5,FALSE))*B27</f>
        <v>164.68</v>
      </c>
      <c r="F27" s="7">
        <f>E27/$E$32</f>
        <v>3.4783857654011721E-2</v>
      </c>
    </row>
    <row r="28" spans="1:6" ht="18" customHeight="1">
      <c r="A28" s="3" t="s">
        <v>43</v>
      </c>
      <c r="B28" s="57">
        <v>2</v>
      </c>
      <c r="C28" s="19">
        <v>2</v>
      </c>
      <c r="E28" s="6">
        <f>(VLOOKUP(C28,dados_auxiliares!$A$24:$D$31,4,FALSE)*($B$11-$B$13)+VLOOKUP(C28,dados_auxiliares!$A$24:$D$31,3,FALSE)*VLOOKUP($B$14,dados_auxiliares!$A$3:$G$15,6,FALSE))*B28</f>
        <v>197.88</v>
      </c>
      <c r="F28" s="7">
        <f>E28/$E$32</f>
        <v>4.1796391502160787E-2</v>
      </c>
    </row>
    <row r="29" spans="1:6" ht="18" customHeight="1">
      <c r="A29" s="11" t="s">
        <v>44</v>
      </c>
      <c r="B29" s="57">
        <v>2</v>
      </c>
      <c r="C29" s="20">
        <v>2</v>
      </c>
      <c r="D29" s="11"/>
      <c r="E29" s="12">
        <f>(VLOOKUP(C29,dados_auxiliares!$A$24:$D$31,4,FALSE)*($B$11-$B$13)+VLOOKUP(C29,dados_auxiliares!$A$24:$D$31,3,FALSE)*VLOOKUP($B$14,dados_auxiliares!$A$3:$G$15,7,FALSE))*B29</f>
        <v>1175.6200000000001</v>
      </c>
      <c r="F29" s="13">
        <f>E29/$E$32</f>
        <v>0.24831551333015095</v>
      </c>
    </row>
    <row r="30" spans="1:6">
      <c r="A30" s="10" t="s">
        <v>58</v>
      </c>
      <c r="E30" s="8">
        <f>SUM(E26:E29)</f>
        <v>1702.8600000000001</v>
      </c>
    </row>
    <row r="31" spans="1:6">
      <c r="A31" s="58"/>
      <c r="B31" s="58"/>
      <c r="C31" s="58"/>
      <c r="D31" s="58"/>
      <c r="E31" s="58"/>
      <c r="F31" s="58"/>
    </row>
    <row r="32" spans="1:6">
      <c r="A32" s="34" t="s">
        <v>11</v>
      </c>
      <c r="B32" s="34"/>
      <c r="C32" s="34"/>
      <c r="D32" s="34"/>
      <c r="E32" s="35">
        <f>E23+E30</f>
        <v>4734.38</v>
      </c>
      <c r="F32" s="36">
        <f>SUM(F18:F22)+SUM(F26:F29)</f>
        <v>1</v>
      </c>
    </row>
  </sheetData>
  <sheetProtection sheet="1" objects="1" scenarios="1"/>
  <customSheetViews>
    <customSheetView guid="{140AB78D-3863-467F-9660-B6D433C26E11}" showRuler="0">
      <selection activeCell="B12" sqref="B12"/>
      <pageMargins left="0.78740157499999996" right="0.78740157499999996" top="0.984251969" bottom="0.984251969" header="0.49212598499999999" footer="0.49212598499999999"/>
      <pageSetup paperSize="9" orientation="portrait" horizontalDpi="300" verticalDpi="300" r:id="rId1"/>
      <headerFooter alignWithMargins="0"/>
    </customSheetView>
  </customSheetViews>
  <phoneticPr fontId="0" type="noConversion"/>
  <conditionalFormatting sqref="B26:B29">
    <cfRule type="cellIs" dxfId="0" priority="1" stopIfTrue="1" operator="equal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horizontalDpi="300" verticalDpi="300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3"/>
  <sheetViews>
    <sheetView topLeftCell="A4" workbookViewId="0">
      <selection activeCell="B58" sqref="B58"/>
    </sheetView>
  </sheetViews>
  <sheetFormatPr defaultRowHeight="12.75"/>
  <cols>
    <col min="1" max="1" width="9.140625" style="3"/>
    <col min="2" max="2" width="9.5703125" style="3" customWidth="1"/>
    <col min="3" max="3" width="11.42578125" style="3" customWidth="1"/>
    <col min="4" max="11" width="9.28515625" style="3" customWidth="1"/>
    <col min="12" max="16384" width="9.140625" style="3"/>
  </cols>
  <sheetData>
    <row r="2" spans="1:12" ht="18">
      <c r="A2" s="4" t="s">
        <v>61</v>
      </c>
    </row>
    <row r="3" spans="1:12">
      <c r="A3" s="14" t="s">
        <v>40</v>
      </c>
    </row>
    <row r="5" spans="1:12" s="27" customFormat="1">
      <c r="A5" s="43" t="s">
        <v>62</v>
      </c>
      <c r="B5" s="43"/>
      <c r="C5" s="44"/>
      <c r="D5" s="45" t="s">
        <v>63</v>
      </c>
      <c r="E5" s="44"/>
      <c r="F5" s="44"/>
      <c r="G5" s="44"/>
      <c r="H5" s="44"/>
      <c r="I5" s="44"/>
      <c r="J5" s="44"/>
      <c r="K5" s="44"/>
    </row>
    <row r="6" spans="1:12">
      <c r="A6" s="25"/>
      <c r="B6" s="25"/>
    </row>
    <row r="7" spans="1:12">
      <c r="A7" s="76" t="s">
        <v>33</v>
      </c>
      <c r="B7" s="76" t="s">
        <v>67</v>
      </c>
      <c r="C7" s="78" t="s">
        <v>3</v>
      </c>
      <c r="D7" s="80" t="s">
        <v>68</v>
      </c>
      <c r="E7" s="81"/>
      <c r="F7" s="82" t="s">
        <v>71</v>
      </c>
      <c r="G7" s="82"/>
      <c r="H7" s="74" t="s">
        <v>72</v>
      </c>
      <c r="I7" s="75"/>
      <c r="J7" s="74" t="s">
        <v>73</v>
      </c>
      <c r="K7" s="75"/>
      <c r="L7" s="46"/>
    </row>
    <row r="8" spans="1:12" ht="13.5" thickBot="1">
      <c r="A8" s="77"/>
      <c r="B8" s="77"/>
      <c r="C8" s="79"/>
      <c r="D8" s="47" t="s">
        <v>69</v>
      </c>
      <c r="E8" s="53" t="s">
        <v>70</v>
      </c>
      <c r="F8" s="47" t="s">
        <v>69</v>
      </c>
      <c r="G8" s="48" t="s">
        <v>70</v>
      </c>
      <c r="H8" s="54" t="s">
        <v>69</v>
      </c>
      <c r="I8" s="53" t="s">
        <v>70</v>
      </c>
      <c r="J8" s="54" t="s">
        <v>69</v>
      </c>
      <c r="K8" s="53" t="s">
        <v>70</v>
      </c>
      <c r="L8" s="46"/>
    </row>
    <row r="9" spans="1:12">
      <c r="A9" s="49">
        <v>4.1666666666666664E-2</v>
      </c>
      <c r="B9" s="50">
        <f>fluxo_calor!B$11-fluxo_calor!B$12*VLOOKUP(A9,dados_auxiliares!B60:C83,2,FALSE)</f>
        <v>23.04</v>
      </c>
      <c r="C9" s="59">
        <f>fluxo_calor!$B$18*fluxo_calor!$D$18*(B9+VLOOKUP(fluxo_calor!$C$18,dados_auxiliares!$A$18:$B$21,2,FALSE)*VLOOKUP(A9,dados_auxiliares!$B$34:$G$57,2,FALSE)*0.04-4-fluxo_calor!$B$13)</f>
        <v>-496.00000000000011</v>
      </c>
      <c r="D9" s="60">
        <f>fluxo_calor!$B$19*fluxo_calor!$D$19*(B9+VLOOKUP(fluxo_calor!$C$19,dados_auxiliares!$A$18:$B$21,2,FALSE)*VLOOKUP(A9,dados_auxiliares!$B$34:$G$57,3,FALSE)*0.04-fluxo_calor!$B$13)</f>
        <v>-24.960000000000022</v>
      </c>
      <c r="E9" s="61">
        <f>+(VLOOKUP(fluxo_calor!C$26,dados_auxiliares!$A$24:$D$31,4,FALSE)*(B9-fluxo_calor!$B$13)+VLOOKUP(fluxo_calor!C$26,dados_auxiliares!$A$24:$D$31,3,FALSE)*VLOOKUP(A9,dados_auxiliares!$B$34:$G$57,3,FALSE))*fluxo_calor!B$26</f>
        <v>-10.94400000000001</v>
      </c>
      <c r="F9" s="60">
        <f>fluxo_calor!$B$20*fluxo_calor!$D$20*(B9+VLOOKUP(fluxo_calor!$C$20,dados_auxiliares!$A$18:$B$21,2,FALSE)*VLOOKUP(A9,dados_auxiliares!$B$34:$G$57,4,FALSE)*0.04-fluxo_calor!$B$13)</f>
        <v>-53.760000000000048</v>
      </c>
      <c r="G9" s="62">
        <f>+(VLOOKUP(fluxo_calor!C$27,dados_auxiliares!$A$24:$D$31,4,FALSE)*(B9-fluxo_calor!$B$13)+VLOOKUP(fluxo_calor!C$27,dados_auxiliares!$A$24:$D$31,3,FALSE)*VLOOKUP(A9,dados_auxiliares!$B$34:$G$57,4,FALSE))*fluxo_calor!B$27</f>
        <v>-10.94400000000001</v>
      </c>
      <c r="H9" s="63">
        <f>fluxo_calor!$B$21*fluxo_calor!$D$21*(B9+VLOOKUP(fluxo_calor!$C$21,dados_auxiliares!$A$18:$B$21,2,FALSE)*VLOOKUP(A9,dados_auxiliares!$B$34:$G$57,5,FALSE)*0.04-fluxo_calor!$B$13)</f>
        <v>-24.960000000000022</v>
      </c>
      <c r="I9" s="61">
        <f>+(VLOOKUP(fluxo_calor!C$28,dados_auxiliares!$A$24:$D$31,4,FALSE)*(B9-fluxo_calor!$B$13)+VLOOKUP(fluxo_calor!C$28,dados_auxiliares!$A$24:$D$31,3,FALSE)*VLOOKUP(A9,dados_auxiliares!$B$34:$G$57,5,FALSE))*fluxo_calor!B$28</f>
        <v>-10.94400000000001</v>
      </c>
      <c r="J9" s="63">
        <f>fluxo_calor!$B$22*fluxo_calor!$D$22*(B9+VLOOKUP(fluxo_calor!$C$22,dados_auxiliares!$A$18:$B$21,2,FALSE)*VLOOKUP(A9,dados_auxiliares!$B$34:$G$57,6,FALSE)*0.04-fluxo_calor!$B$13)</f>
        <v>-53.760000000000048</v>
      </c>
      <c r="K9" s="61">
        <f>+(VLOOKUP(fluxo_calor!C$29,dados_auxiliares!$A$24:$D$31,4,FALSE)*(B9-fluxo_calor!$B$13)+VLOOKUP(fluxo_calor!C$29,dados_auxiliares!$A$24:$D$31,3,FALSE)*VLOOKUP(A9,dados_auxiliares!$B$34:$G$57,6,FALSE))*fluxo_calor!B$29</f>
        <v>-10.94400000000001</v>
      </c>
      <c r="L9" s="46"/>
    </row>
    <row r="10" spans="1:12">
      <c r="A10" s="51">
        <v>8.3333333333333329E-2</v>
      </c>
      <c r="B10" s="52">
        <f>fluxo_calor!B$11-fluxo_calor!B$12*VLOOKUP(A10,dados_auxiliares!B61:C84,2,FALSE)</f>
        <v>22.64</v>
      </c>
      <c r="C10" s="64">
        <f>fluxo_calor!$B$18*fluxo_calor!$D$18*(B10+VLOOKUP(fluxo_calor!$C$18,dados_auxiliares!$A$18:$B$21,2,FALSE)*VLOOKUP(A10,dados_auxiliares!$B$34:$G$57,2,FALSE)*0.04-4-fluxo_calor!$B$13)</f>
        <v>-536</v>
      </c>
      <c r="D10" s="65">
        <f>fluxo_calor!$B$19*fluxo_calor!$D$19*(B10+VLOOKUP(fluxo_calor!$C$19,dados_auxiliares!$A$18:$B$21,2,FALSE)*VLOOKUP(A10,dados_auxiliares!$B$34:$G$57,3,FALSE)*0.04-fluxo_calor!$B$13)+(VLOOKUP(fluxo_calor!C$26,dados_auxiliares!$A$24:$D$31,4,FALSE)*(B10-fluxo_calor!$B$13)+VLOOKUP(fluxo_calor!C$26,dados_auxiliares!$A$24:$D$31,3,FALSE)*VLOOKUP(A10,dados_auxiliares!$B$34:$G$57,3,FALSE))*fluxo_calor!B$26</f>
        <v>-50.863999999999976</v>
      </c>
      <c r="E10" s="66">
        <f>+(VLOOKUP(fluxo_calor!C$26,dados_auxiliares!$A$24:$D$31,4,FALSE)*(B10-fluxo_calor!$B$13)+VLOOKUP(fluxo_calor!C$26,dados_auxiliares!$A$24:$D$31,3,FALSE)*VLOOKUP(A10,dados_auxiliares!$B$34:$G$57,3,FALSE))*fluxo_calor!B$26</f>
        <v>-15.503999999999994</v>
      </c>
      <c r="F10" s="65">
        <f>fluxo_calor!$B$20*fluxo_calor!$D$20*(B10+VLOOKUP(fluxo_calor!$C$20,dados_auxiliares!$A$18:$B$21,2,FALSE)*VLOOKUP(A10,dados_auxiliares!$B$34:$G$57,4,FALSE)*0.04-fluxo_calor!$B$13)+(VLOOKUP(fluxo_calor!C$27,dados_auxiliares!$A$24:$D$31,4,FALSE)*(B10-fluxo_calor!$B$13)+VLOOKUP(fluxo_calor!C$27,dados_auxiliares!$A$24:$D$31,3,FALSE)*VLOOKUP(A10,dados_auxiliares!$B$34:$G$57,4,FALSE))*fluxo_calor!B$27</f>
        <v>-91.663999999999959</v>
      </c>
      <c r="G10" s="67">
        <f>+(VLOOKUP(fluxo_calor!C$27,dados_auxiliares!$A$24:$D$31,4,FALSE)*(B10-fluxo_calor!$B$13)+VLOOKUP(fluxo_calor!C$27,dados_auxiliares!$A$24:$D$31,3,FALSE)*VLOOKUP(A10,dados_auxiliares!$B$34:$G$57,4,FALSE))*fluxo_calor!B$27</f>
        <v>-15.503999999999994</v>
      </c>
      <c r="H10" s="68">
        <f>fluxo_calor!$B$21*fluxo_calor!$D$21*(B10+VLOOKUP(fluxo_calor!$C$21,dados_auxiliares!$A$18:$B$21,2,FALSE)*VLOOKUP(A10,dados_auxiliares!$B$34:$G$57,5,FALSE)*0.04-fluxo_calor!$B$13)+(VLOOKUP(fluxo_calor!C$28,dados_auxiliares!$A$24:$D$31,4,FALSE)*(B10-fluxo_calor!$B$13)+VLOOKUP(fluxo_calor!C$28,dados_auxiliares!$A$24:$D$31,3,FALSE)*VLOOKUP(A10,dados_auxiliares!$B$34:$G$57,5,FALSE))*fluxo_calor!B$28</f>
        <v>-50.863999999999976</v>
      </c>
      <c r="I10" s="66">
        <f>+(VLOOKUP(fluxo_calor!C$28,dados_auxiliares!$A$24:$D$31,4,FALSE)*(B10-fluxo_calor!$B$13)+VLOOKUP(fluxo_calor!C$28,dados_auxiliares!$A$24:$D$31,3,FALSE)*VLOOKUP(A10,dados_auxiliares!$B$34:$G$57,5,FALSE))*fluxo_calor!B$28</f>
        <v>-15.503999999999994</v>
      </c>
      <c r="J10" s="68">
        <f>fluxo_calor!$B$22*fluxo_calor!$D$22*(B10+VLOOKUP(fluxo_calor!$C$22,dados_auxiliares!$A$18:$B$21,2,FALSE)*VLOOKUP(A10,dados_auxiliares!$B$34:$G$57,6,FALSE)*0.04-fluxo_calor!$B$13)+(VLOOKUP(fluxo_calor!C$29,dados_auxiliares!$A$24:$D$31,4,FALSE)*(B10-fluxo_calor!$B$13)+VLOOKUP(fluxo_calor!C$29,dados_auxiliares!$A$24:$D$31,3,FALSE)*VLOOKUP(A10,dados_auxiliares!$B$34:$G$57,6,FALSE))*fluxo_calor!B$29</f>
        <v>-91.663999999999959</v>
      </c>
      <c r="K10" s="66">
        <f>+(VLOOKUP(fluxo_calor!C$29,dados_auxiliares!$A$24:$D$31,4,FALSE)*(B10-fluxo_calor!$B$13)+VLOOKUP(fluxo_calor!C$29,dados_auxiliares!$A$24:$D$31,3,FALSE)*VLOOKUP(A10,dados_auxiliares!$B$34:$G$57,6,FALSE))*fluxo_calor!B$29</f>
        <v>-15.503999999999994</v>
      </c>
      <c r="L10" s="46"/>
    </row>
    <row r="11" spans="1:12">
      <c r="A11" s="51">
        <v>0.125</v>
      </c>
      <c r="B11" s="52">
        <f>fluxo_calor!B$11-fluxo_calor!B$12*VLOOKUP(A11,dados_auxiliares!B62:C85,2,FALSE)</f>
        <v>22.32</v>
      </c>
      <c r="C11" s="64">
        <f>fluxo_calor!$B$18*fluxo_calor!$D$18*(B11+VLOOKUP(fluxo_calor!$C$18,dados_auxiliares!$A$18:$B$21,2,FALSE)*VLOOKUP(A11,dados_auxiliares!$B$34:$G$57,2,FALSE)*0.04-4-fluxo_calor!$B$13)</f>
        <v>-568</v>
      </c>
      <c r="D11" s="65">
        <f>fluxo_calor!$B$19*fluxo_calor!$D$19*(B11+VLOOKUP(fluxo_calor!$C$19,dados_auxiliares!$A$18:$B$21,2,FALSE)*VLOOKUP(A11,dados_auxiliares!$B$34:$G$57,3,FALSE)*0.04-fluxo_calor!$B$13)+(VLOOKUP(fluxo_calor!C$26,dados_auxiliares!$A$24:$D$31,4,FALSE)*(B11-fluxo_calor!$B$13)+VLOOKUP(fluxo_calor!C$26,dados_auxiliares!$A$24:$D$31,3,FALSE)*VLOOKUP(A11,dados_auxiliares!$B$34:$G$57,3,FALSE))*fluxo_calor!B$26</f>
        <v>-62.831999999999994</v>
      </c>
      <c r="E11" s="66">
        <f>+(VLOOKUP(fluxo_calor!C$26,dados_auxiliares!$A$24:$D$31,4,FALSE)*(B11-fluxo_calor!$B$13)+VLOOKUP(fluxo_calor!C$26,dados_auxiliares!$A$24:$D$31,3,FALSE)*VLOOKUP(A11,dados_auxiliares!$B$34:$G$57,3,FALSE))*fluxo_calor!B$26</f>
        <v>-19.151999999999997</v>
      </c>
      <c r="F11" s="65">
        <f>fluxo_calor!$B$20*fluxo_calor!$D$20*(B11+VLOOKUP(fluxo_calor!$C$20,dados_auxiliares!$A$18:$B$21,2,FALSE)*VLOOKUP(A11,dados_auxiliares!$B$34:$G$57,4,FALSE)*0.04-fluxo_calor!$B$13)+(VLOOKUP(fluxo_calor!C$27,dados_auxiliares!$A$24:$D$31,4,FALSE)*(B11-fluxo_calor!$B$13)+VLOOKUP(fluxo_calor!C$27,dados_auxiliares!$A$24:$D$31,3,FALSE)*VLOOKUP(A11,dados_auxiliares!$B$34:$G$57,4,FALSE))*fluxo_calor!B$27</f>
        <v>-113.23199999999999</v>
      </c>
      <c r="G11" s="67">
        <f>+(VLOOKUP(fluxo_calor!C$27,dados_auxiliares!$A$24:$D$31,4,FALSE)*(B11-fluxo_calor!$B$13)+VLOOKUP(fluxo_calor!C$27,dados_auxiliares!$A$24:$D$31,3,FALSE)*VLOOKUP(A11,dados_auxiliares!$B$34:$G$57,4,FALSE))*fluxo_calor!B$27</f>
        <v>-19.151999999999997</v>
      </c>
      <c r="H11" s="68">
        <f>fluxo_calor!$B$21*fluxo_calor!$D$21*(B11+VLOOKUP(fluxo_calor!$C$21,dados_auxiliares!$A$18:$B$21,2,FALSE)*VLOOKUP(A11,dados_auxiliares!$B$34:$G$57,5,FALSE)*0.04-fluxo_calor!$B$13)+(VLOOKUP(fluxo_calor!C$28,dados_auxiliares!$A$24:$D$31,4,FALSE)*(B11-fluxo_calor!$B$13)+VLOOKUP(fluxo_calor!C$28,dados_auxiliares!$A$24:$D$31,3,FALSE)*VLOOKUP(A11,dados_auxiliares!$B$34:$G$57,5,FALSE))*fluxo_calor!B$28</f>
        <v>-62.831999999999994</v>
      </c>
      <c r="I11" s="66">
        <f>+(VLOOKUP(fluxo_calor!C$28,dados_auxiliares!$A$24:$D$31,4,FALSE)*(B11-fluxo_calor!$B$13)+VLOOKUP(fluxo_calor!C$28,dados_auxiliares!$A$24:$D$31,3,FALSE)*VLOOKUP(A11,dados_auxiliares!$B$34:$G$57,5,FALSE))*fluxo_calor!B$28</f>
        <v>-19.151999999999997</v>
      </c>
      <c r="J11" s="68">
        <f>fluxo_calor!$B$22*fluxo_calor!$D$22*(B11+VLOOKUP(fluxo_calor!$C$22,dados_auxiliares!$A$18:$B$21,2,FALSE)*VLOOKUP(A11,dados_auxiliares!$B$34:$G$57,6,FALSE)*0.04-fluxo_calor!$B$13)+(VLOOKUP(fluxo_calor!C$29,dados_auxiliares!$A$24:$D$31,4,FALSE)*(B11-fluxo_calor!$B$13)+VLOOKUP(fluxo_calor!C$29,dados_auxiliares!$A$24:$D$31,3,FALSE)*VLOOKUP(A11,dados_auxiliares!$B$34:$G$57,6,FALSE))*fluxo_calor!B$29</f>
        <v>-113.23199999999999</v>
      </c>
      <c r="K11" s="66">
        <f>+(VLOOKUP(fluxo_calor!C$29,dados_auxiliares!$A$24:$D$31,4,FALSE)*(B11-fluxo_calor!$B$13)+VLOOKUP(fluxo_calor!C$29,dados_auxiliares!$A$24:$D$31,3,FALSE)*VLOOKUP(A11,dados_auxiliares!$B$34:$G$57,6,FALSE))*fluxo_calor!B$29</f>
        <v>-19.151999999999997</v>
      </c>
      <c r="L11" s="46"/>
    </row>
    <row r="12" spans="1:12">
      <c r="A12" s="51">
        <v>0.16666666666666699</v>
      </c>
      <c r="B12" s="52">
        <f>fluxo_calor!B$11-fluxo_calor!B$12*VLOOKUP(A12,dados_auxiliares!B63:C86,2,FALSE)</f>
        <v>22.08</v>
      </c>
      <c r="C12" s="64">
        <f>fluxo_calor!$B$18*fluxo_calor!$D$18*(B12+VLOOKUP(fluxo_calor!$C$18,dados_auxiliares!$A$18:$B$21,2,FALSE)*VLOOKUP(A12,dados_auxiliares!$B$34:$G$57,2,FALSE)*0.04-4-fluxo_calor!$B$13)</f>
        <v>-592.00000000000023</v>
      </c>
      <c r="D12" s="65">
        <f>fluxo_calor!$B$19*fluxo_calor!$D$19*(B12+VLOOKUP(fluxo_calor!$C$19,dados_auxiliares!$A$18:$B$21,2,FALSE)*VLOOKUP(A12,dados_auxiliares!$B$34:$G$57,3,FALSE)*0.04-fluxo_calor!$B$13)+(VLOOKUP(fluxo_calor!C$26,dados_auxiliares!$A$24:$D$31,4,FALSE)*(B12-fluxo_calor!$B$13)+VLOOKUP(fluxo_calor!C$26,dados_auxiliares!$A$24:$D$31,3,FALSE)*VLOOKUP(A12,dados_auxiliares!$B$34:$G$57,3,FALSE))*fluxo_calor!B$26</f>
        <v>-71.808000000000064</v>
      </c>
      <c r="E12" s="66">
        <f>+(VLOOKUP(fluxo_calor!C$26,dados_auxiliares!$A$24:$D$31,4,FALSE)*(B12-fluxo_calor!$B$13)+VLOOKUP(fluxo_calor!C$26,dados_auxiliares!$A$24:$D$31,3,FALSE)*VLOOKUP(A12,dados_auxiliares!$B$34:$G$57,3,FALSE))*fluxo_calor!B$26</f>
        <v>-21.888000000000019</v>
      </c>
      <c r="F12" s="65">
        <f>fluxo_calor!$B$20*fluxo_calor!$D$20*(B12+VLOOKUP(fluxo_calor!$C$20,dados_auxiliares!$A$18:$B$21,2,FALSE)*VLOOKUP(A12,dados_auxiliares!$B$34:$G$57,4,FALSE)*0.04-fluxo_calor!$B$13)+(VLOOKUP(fluxo_calor!C$27,dados_auxiliares!$A$24:$D$31,4,FALSE)*(B12-fluxo_calor!$B$13)+VLOOKUP(fluxo_calor!C$27,dados_auxiliares!$A$24:$D$31,3,FALSE)*VLOOKUP(A12,dados_auxiliares!$B$34:$G$57,4,FALSE))*fluxo_calor!B$27</f>
        <v>-129.40800000000013</v>
      </c>
      <c r="G12" s="67">
        <f>+(VLOOKUP(fluxo_calor!C$27,dados_auxiliares!$A$24:$D$31,4,FALSE)*(B12-fluxo_calor!$B$13)+VLOOKUP(fluxo_calor!C$27,dados_auxiliares!$A$24:$D$31,3,FALSE)*VLOOKUP(A12,dados_auxiliares!$B$34:$G$57,4,FALSE))*fluxo_calor!B$27</f>
        <v>-21.888000000000019</v>
      </c>
      <c r="H12" s="68">
        <f>fluxo_calor!$B$21*fluxo_calor!$D$21*(B12+VLOOKUP(fluxo_calor!$C$21,dados_auxiliares!$A$18:$B$21,2,FALSE)*VLOOKUP(A12,dados_auxiliares!$B$34:$G$57,5,FALSE)*0.04-fluxo_calor!$B$13)+(VLOOKUP(fluxo_calor!C$28,dados_auxiliares!$A$24:$D$31,4,FALSE)*(B12-fluxo_calor!$B$13)+VLOOKUP(fluxo_calor!C$28,dados_auxiliares!$A$24:$D$31,3,FALSE)*VLOOKUP(A12,dados_auxiliares!$B$34:$G$57,5,FALSE))*fluxo_calor!B$28</f>
        <v>-71.808000000000064</v>
      </c>
      <c r="I12" s="66">
        <f>+(VLOOKUP(fluxo_calor!C$28,dados_auxiliares!$A$24:$D$31,4,FALSE)*(B12-fluxo_calor!$B$13)+VLOOKUP(fluxo_calor!C$28,dados_auxiliares!$A$24:$D$31,3,FALSE)*VLOOKUP(A12,dados_auxiliares!$B$34:$G$57,5,FALSE))*fluxo_calor!B$28</f>
        <v>-21.888000000000019</v>
      </c>
      <c r="J12" s="68">
        <f>fluxo_calor!$B$22*fluxo_calor!$D$22*(B12+VLOOKUP(fluxo_calor!$C$22,dados_auxiliares!$A$18:$B$21,2,FALSE)*VLOOKUP(A12,dados_auxiliares!$B$34:$G$57,6,FALSE)*0.04-fluxo_calor!$B$13)+(VLOOKUP(fluxo_calor!C$29,dados_auxiliares!$A$24:$D$31,4,FALSE)*(B12-fluxo_calor!$B$13)+VLOOKUP(fluxo_calor!C$29,dados_auxiliares!$A$24:$D$31,3,FALSE)*VLOOKUP(A12,dados_auxiliares!$B$34:$G$57,6,FALSE))*fluxo_calor!B$29</f>
        <v>-129.40800000000013</v>
      </c>
      <c r="K12" s="66">
        <f>+(VLOOKUP(fluxo_calor!C$29,dados_auxiliares!$A$24:$D$31,4,FALSE)*(B12-fluxo_calor!$B$13)+VLOOKUP(fluxo_calor!C$29,dados_auxiliares!$A$24:$D$31,3,FALSE)*VLOOKUP(A12,dados_auxiliares!$B$34:$G$57,6,FALSE))*fluxo_calor!B$29</f>
        <v>-21.888000000000019</v>
      </c>
      <c r="L12" s="46"/>
    </row>
    <row r="13" spans="1:12">
      <c r="A13" s="51">
        <v>0.20833333333333401</v>
      </c>
      <c r="B13" s="52">
        <f>fluxo_calor!B$11-fluxo_calor!B$12*VLOOKUP(A13,dados_auxiliares!B64:C87,2,FALSE)</f>
        <v>22</v>
      </c>
      <c r="C13" s="64">
        <f>fluxo_calor!$B$18*fluxo_calor!$D$18*(B13+VLOOKUP(fluxo_calor!$C$18,dados_auxiliares!$A$18:$B$21,2,FALSE)*VLOOKUP(A13,dados_auxiliares!$B$34:$G$57,2,FALSE)*0.04-4-fluxo_calor!$B$13)</f>
        <v>-600</v>
      </c>
      <c r="D13" s="65">
        <f>fluxo_calor!$B$19*fluxo_calor!$D$19*(B13+VLOOKUP(fluxo_calor!$C$19,dados_auxiliares!$A$18:$B$21,2,FALSE)*VLOOKUP(A13,dados_auxiliares!$B$34:$G$57,3,FALSE)*0.04-fluxo_calor!$B$13)+(VLOOKUP(fluxo_calor!C$26,dados_auxiliares!$A$24:$D$31,4,FALSE)*(B13-fluxo_calor!$B$13)+VLOOKUP(fluxo_calor!C$26,dados_auxiliares!$A$24:$D$31,3,FALSE)*VLOOKUP(A13,dados_auxiliares!$B$34:$G$57,3,FALSE))*fluxo_calor!B$26</f>
        <v>-74.8</v>
      </c>
      <c r="E13" s="66">
        <f>+(VLOOKUP(fluxo_calor!C$26,dados_auxiliares!$A$24:$D$31,4,FALSE)*(B13-fluxo_calor!$B$13)+VLOOKUP(fluxo_calor!C$26,dados_auxiliares!$A$24:$D$31,3,FALSE)*VLOOKUP(A13,dados_auxiliares!$B$34:$G$57,3,FALSE))*fluxo_calor!B$26</f>
        <v>-22.8</v>
      </c>
      <c r="F13" s="65">
        <f>fluxo_calor!$B$20*fluxo_calor!$D$20*(B13+VLOOKUP(fluxo_calor!$C$20,dados_auxiliares!$A$18:$B$21,2,FALSE)*VLOOKUP(A13,dados_auxiliares!$B$34:$G$57,4,FALSE)*0.04-fluxo_calor!$B$13)+(VLOOKUP(fluxo_calor!C$27,dados_auxiliares!$A$24:$D$31,4,FALSE)*(B13-fluxo_calor!$B$13)+VLOOKUP(fluxo_calor!C$27,dados_auxiliares!$A$24:$D$31,3,FALSE)*VLOOKUP(A13,dados_auxiliares!$B$34:$G$57,4,FALSE))*fluxo_calor!B$27</f>
        <v>-134.80000000000001</v>
      </c>
      <c r="G13" s="67">
        <f>+(VLOOKUP(fluxo_calor!C$27,dados_auxiliares!$A$24:$D$31,4,FALSE)*(B13-fluxo_calor!$B$13)+VLOOKUP(fluxo_calor!C$27,dados_auxiliares!$A$24:$D$31,3,FALSE)*VLOOKUP(A13,dados_auxiliares!$B$34:$G$57,4,FALSE))*fluxo_calor!B$27</f>
        <v>-22.8</v>
      </c>
      <c r="H13" s="68">
        <f>fluxo_calor!$B$21*fluxo_calor!$D$21*(B13+VLOOKUP(fluxo_calor!$C$21,dados_auxiliares!$A$18:$B$21,2,FALSE)*VLOOKUP(A13,dados_auxiliares!$B$34:$G$57,5,FALSE)*0.04-fluxo_calor!$B$13)+(VLOOKUP(fluxo_calor!C$28,dados_auxiliares!$A$24:$D$31,4,FALSE)*(B13-fluxo_calor!$B$13)+VLOOKUP(fluxo_calor!C$28,dados_auxiliares!$A$24:$D$31,3,FALSE)*VLOOKUP(A13,dados_auxiliares!$B$34:$G$57,5,FALSE))*fluxo_calor!B$28</f>
        <v>-74.8</v>
      </c>
      <c r="I13" s="66">
        <f>+(VLOOKUP(fluxo_calor!C$28,dados_auxiliares!$A$24:$D$31,4,FALSE)*(B13-fluxo_calor!$B$13)+VLOOKUP(fluxo_calor!C$28,dados_auxiliares!$A$24:$D$31,3,FALSE)*VLOOKUP(A13,dados_auxiliares!$B$34:$G$57,5,FALSE))*fluxo_calor!B$28</f>
        <v>-22.8</v>
      </c>
      <c r="J13" s="68">
        <f>fluxo_calor!$B$22*fluxo_calor!$D$22*(B13+VLOOKUP(fluxo_calor!$C$22,dados_auxiliares!$A$18:$B$21,2,FALSE)*VLOOKUP(A13,dados_auxiliares!$B$34:$G$57,6,FALSE)*0.04-fluxo_calor!$B$13)+(VLOOKUP(fluxo_calor!C$29,dados_auxiliares!$A$24:$D$31,4,FALSE)*(B13-fluxo_calor!$B$13)+VLOOKUP(fluxo_calor!C$29,dados_auxiliares!$A$24:$D$31,3,FALSE)*VLOOKUP(A13,dados_auxiliares!$B$34:$G$57,6,FALSE))*fluxo_calor!B$29</f>
        <v>-134.80000000000001</v>
      </c>
      <c r="K13" s="66">
        <f>+(VLOOKUP(fluxo_calor!C$29,dados_auxiliares!$A$24:$D$31,4,FALSE)*(B13-fluxo_calor!$B$13)+VLOOKUP(fluxo_calor!C$29,dados_auxiliares!$A$24:$D$31,3,FALSE)*VLOOKUP(A13,dados_auxiliares!$B$34:$G$57,6,FALSE))*fluxo_calor!B$29</f>
        <v>-22.8</v>
      </c>
      <c r="L13" s="46"/>
    </row>
    <row r="14" spans="1:12">
      <c r="A14" s="51">
        <v>0.25</v>
      </c>
      <c r="B14" s="52">
        <f>fluxo_calor!B$11-fluxo_calor!B$12*VLOOKUP(A14,dados_auxiliares!B65:C88,2,FALSE)</f>
        <v>22.16</v>
      </c>
      <c r="C14" s="64">
        <f>fluxo_calor!$B$18*fluxo_calor!$D$18*(B14+VLOOKUP(fluxo_calor!$C$18,dados_auxiliares!$A$18:$B$21,2,FALSE)*VLOOKUP(A14,dados_auxiliares!$B$34:$G$57,2,FALSE)*0.04-4-fluxo_calor!$B$13)</f>
        <v>-447.20000000000016</v>
      </c>
      <c r="D14" s="65">
        <f>fluxo_calor!$B$19*fluxo_calor!$D$19*(B14+VLOOKUP(fluxo_calor!$C$19,dados_auxiliares!$A$18:$B$21,2,FALSE)*VLOOKUP(A14,dados_auxiliares!$B$34:$G$57,3,FALSE)*0.04-fluxo_calor!$B$13)+(VLOOKUP(fluxo_calor!C$26,dados_auxiliares!$A$24:$D$31,4,FALSE)*(B14-fluxo_calor!$B$13)+VLOOKUP(fluxo_calor!C$26,dados_auxiliares!$A$24:$D$31,3,FALSE)*VLOOKUP(A14,dados_auxiliares!$B$34:$G$57,3,FALSE))*fluxo_calor!B$26</f>
        <v>-14.315999999999995</v>
      </c>
      <c r="E14" s="66">
        <f>+(VLOOKUP(fluxo_calor!C$26,dados_auxiliares!$A$24:$D$31,4,FALSE)*(B14-fluxo_calor!$B$13)+VLOOKUP(fluxo_calor!C$26,dados_auxiliares!$A$24:$D$31,3,FALSE)*VLOOKUP(A14,dados_auxiliares!$B$34:$G$57,3,FALSE))*fluxo_calor!B$26</f>
        <v>20.524000000000001</v>
      </c>
      <c r="F14" s="65">
        <f>fluxo_calor!$B$20*fluxo_calor!$D$20*(B14+VLOOKUP(fluxo_calor!$C$20,dados_auxiliares!$A$18:$B$21,2,FALSE)*VLOOKUP(A14,dados_auxiliares!$B$34:$G$57,4,FALSE)*0.04-fluxo_calor!$B$13)+(VLOOKUP(fluxo_calor!C$27,dados_auxiliares!$A$24:$D$31,4,FALSE)*(B14-fluxo_calor!$B$13)+VLOOKUP(fluxo_calor!C$27,dados_auxiliares!$A$24:$D$31,3,FALSE)*VLOOKUP(A14,dados_auxiliares!$B$34:$G$57,4,FALSE))*fluxo_calor!B$27</f>
        <v>821.18399999999997</v>
      </c>
      <c r="G14" s="67">
        <f>+(VLOOKUP(fluxo_calor!C$27,dados_auxiliares!$A$24:$D$31,4,FALSE)*(B14-fluxo_calor!$B$13)+VLOOKUP(fluxo_calor!C$27,dados_auxiliares!$A$24:$D$31,3,FALSE)*VLOOKUP(A14,dados_auxiliares!$B$34:$G$57,4,FALSE))*fluxo_calor!B$27</f>
        <v>543.42399999999998</v>
      </c>
      <c r="H14" s="68">
        <f>fluxo_calor!$B$21*fluxo_calor!$D$21*(B14+VLOOKUP(fluxo_calor!$C$21,dados_auxiliares!$A$18:$B$21,2,FALSE)*VLOOKUP(A14,dados_auxiliares!$B$34:$G$57,5,FALSE)*0.04-fluxo_calor!$B$13)+(VLOOKUP(fluxo_calor!C$28,dados_auxiliares!$A$24:$D$31,4,FALSE)*(B14-fluxo_calor!$B$13)+VLOOKUP(fluxo_calor!C$28,dados_auxiliares!$A$24:$D$31,3,FALSE)*VLOOKUP(A14,dados_auxiliares!$B$34:$G$57,5,FALSE))*fluxo_calor!B$28</f>
        <v>240.744</v>
      </c>
      <c r="I14" s="66">
        <f>+(VLOOKUP(fluxo_calor!C$28,dados_auxiliares!$A$24:$D$31,4,FALSE)*(B14-fluxo_calor!$B$13)+VLOOKUP(fluxo_calor!C$28,dados_auxiliares!$A$24:$D$31,3,FALSE)*VLOOKUP(A14,dados_auxiliares!$B$34:$G$57,5,FALSE))*fluxo_calor!B$28</f>
        <v>214.744</v>
      </c>
      <c r="J14" s="68">
        <f>fluxo_calor!$B$22*fluxo_calor!$D$22*(B14+VLOOKUP(fluxo_calor!$C$22,dados_auxiliares!$A$18:$B$21,2,FALSE)*VLOOKUP(A14,dados_auxiliares!$B$34:$G$57,6,FALSE)*0.04-fluxo_calor!$B$13)+(VLOOKUP(fluxo_calor!C$29,dados_auxiliares!$A$24:$D$31,4,FALSE)*(B14-fluxo_calor!$B$13)+VLOOKUP(fluxo_calor!C$29,dados_auxiliares!$A$24:$D$31,3,FALSE)*VLOOKUP(A14,dados_auxiliares!$B$34:$G$57,6,FALSE))*fluxo_calor!B$29</f>
        <v>-54.515999999999991</v>
      </c>
      <c r="K14" s="66">
        <f>+(VLOOKUP(fluxo_calor!C$29,dados_auxiliares!$A$24:$D$31,4,FALSE)*(B14-fluxo_calor!$B$13)+VLOOKUP(fluxo_calor!C$29,dados_auxiliares!$A$24:$D$31,3,FALSE)*VLOOKUP(A14,dados_auxiliares!$B$34:$G$57,6,FALSE))*fluxo_calor!B$29</f>
        <v>20.524000000000001</v>
      </c>
      <c r="L14" s="46"/>
    </row>
    <row r="15" spans="1:12">
      <c r="A15" s="51">
        <v>0.29166666666666702</v>
      </c>
      <c r="B15" s="52">
        <f>fluxo_calor!B$11-fluxo_calor!B$12*VLOOKUP(A15,dados_auxiliares!B66:C89,2,FALSE)</f>
        <v>22.56</v>
      </c>
      <c r="C15" s="64">
        <f>fluxo_calor!$B$18*fluxo_calor!$D$18*(B15+VLOOKUP(fluxo_calor!$C$18,dados_auxiliares!$A$18:$B$21,2,FALSE)*VLOOKUP(A15,dados_auxiliares!$B$34:$G$57,2,FALSE)*0.04-4-fluxo_calor!$B$13)</f>
        <v>-130.00000000000006</v>
      </c>
      <c r="D15" s="65">
        <f>fluxo_calor!$B$19*fluxo_calor!$D$19*(B15+VLOOKUP(fluxo_calor!$C$19,dados_auxiliares!$A$18:$B$21,2,FALSE)*VLOOKUP(A15,dados_auxiliares!$B$34:$G$57,3,FALSE)*0.04-fluxo_calor!$B$13)+(VLOOKUP(fluxo_calor!C$26,dados_auxiliares!$A$24:$D$31,4,FALSE)*(B15-fluxo_calor!$B$13)+VLOOKUP(fluxo_calor!C$26,dados_auxiliares!$A$24:$D$31,3,FALSE)*VLOOKUP(A15,dados_auxiliares!$B$34:$G$57,3,FALSE))*fluxo_calor!B$26</f>
        <v>39.883999999999936</v>
      </c>
      <c r="E15" s="66">
        <f>+(VLOOKUP(fluxo_calor!C$26,dados_auxiliares!$A$24:$D$31,4,FALSE)*(B15-fluxo_calor!$B$13)+VLOOKUP(fluxo_calor!C$26,dados_auxiliares!$A$24:$D$31,3,FALSE)*VLOOKUP(A15,dados_auxiliares!$B$34:$G$57,3,FALSE))*fluxo_calor!B$26</f>
        <v>54.963999999999984</v>
      </c>
      <c r="F15" s="65">
        <f>fluxo_calor!$B$20*fluxo_calor!$D$20*(B15+VLOOKUP(fluxo_calor!$C$20,dados_auxiliares!$A$18:$B$21,2,FALSE)*VLOOKUP(A15,dados_auxiliares!$B$34:$G$57,4,FALSE)*0.04-fluxo_calor!$B$13)+(VLOOKUP(fluxo_calor!C$27,dados_auxiliares!$A$24:$D$31,4,FALSE)*(B15-fluxo_calor!$B$13)+VLOOKUP(fluxo_calor!C$27,dados_auxiliares!$A$24:$D$31,3,FALSE)*VLOOKUP(A15,dados_auxiliares!$B$34:$G$57,4,FALSE))*fluxo_calor!B$27</f>
        <v>1662.684</v>
      </c>
      <c r="G15" s="67">
        <f>+(VLOOKUP(fluxo_calor!C$27,dados_auxiliares!$A$24:$D$31,4,FALSE)*(B15-fluxo_calor!$B$13)+VLOOKUP(fluxo_calor!C$27,dados_auxiliares!$A$24:$D$31,3,FALSE)*VLOOKUP(A15,dados_auxiliares!$B$34:$G$57,4,FALSE))*fluxo_calor!B$27</f>
        <v>1034.364</v>
      </c>
      <c r="H15" s="68">
        <f>fluxo_calor!$B$21*fluxo_calor!$D$21*(B15+VLOOKUP(fluxo_calor!$C$21,dados_auxiliares!$A$18:$B$21,2,FALSE)*VLOOKUP(A15,dados_auxiliares!$B$34:$G$57,5,FALSE)*0.04-fluxo_calor!$B$13)+(VLOOKUP(fluxo_calor!C$28,dados_auxiliares!$A$24:$D$31,4,FALSE)*(B15-fluxo_calor!$B$13)+VLOOKUP(fluxo_calor!C$28,dados_auxiliares!$A$24:$D$31,3,FALSE)*VLOOKUP(A15,dados_auxiliares!$B$34:$G$57,5,FALSE))*fluxo_calor!B$28</f>
        <v>355.98399999999998</v>
      </c>
      <c r="I15" s="66">
        <f>+(VLOOKUP(fluxo_calor!C$28,dados_auxiliares!$A$24:$D$31,4,FALSE)*(B15-fluxo_calor!$B$13)+VLOOKUP(fluxo_calor!C$28,dados_auxiliares!$A$24:$D$31,3,FALSE)*VLOOKUP(A15,dados_auxiliares!$B$34:$G$57,5,FALSE))*fluxo_calor!B$28</f>
        <v>295.66399999999999</v>
      </c>
      <c r="J15" s="68">
        <f>fluxo_calor!$B$22*fluxo_calor!$D$22*(B15+VLOOKUP(fluxo_calor!$C$22,dados_auxiliares!$A$18:$B$21,2,FALSE)*VLOOKUP(A15,dados_auxiliares!$B$34:$G$57,6,FALSE)*0.04-fluxo_calor!$B$13)+(VLOOKUP(fluxo_calor!C$29,dados_auxiliares!$A$24:$D$31,4,FALSE)*(B15-fluxo_calor!$B$13)+VLOOKUP(fluxo_calor!C$29,dados_auxiliares!$A$24:$D$31,3,FALSE)*VLOOKUP(A15,dados_auxiliares!$B$34:$G$57,6,FALSE))*fluxo_calor!B$29</f>
        <v>22.483999999999881</v>
      </c>
      <c r="K15" s="66">
        <f>+(VLOOKUP(fluxo_calor!C$29,dados_auxiliares!$A$24:$D$31,4,FALSE)*(B15-fluxo_calor!$B$13)+VLOOKUP(fluxo_calor!C$29,dados_auxiliares!$A$24:$D$31,3,FALSE)*VLOOKUP(A15,dados_auxiliares!$B$34:$G$57,6,FALSE))*fluxo_calor!B$29</f>
        <v>54.963999999999984</v>
      </c>
      <c r="L15" s="46"/>
    </row>
    <row r="16" spans="1:12">
      <c r="A16" s="51">
        <v>0.33333333333333398</v>
      </c>
      <c r="B16" s="52">
        <f>fluxo_calor!B$11-fluxo_calor!B$12*VLOOKUP(A16,dados_auxiliares!B67:C90,2,FALSE)</f>
        <v>23.28</v>
      </c>
      <c r="C16" s="64">
        <f>fluxo_calor!$B$18*fluxo_calor!$D$18*(B16+VLOOKUP(fluxo_calor!$C$18,dados_auxiliares!$A$18:$B$21,2,FALSE)*VLOOKUP(A16,dados_auxiliares!$B$34:$G$57,2,FALSE)*0.04-4-fluxo_calor!$B$13)</f>
        <v>233.60000000000019</v>
      </c>
      <c r="D16" s="65">
        <f>fluxo_calor!$B$19*fluxo_calor!$D$19*(B16+VLOOKUP(fluxo_calor!$C$19,dados_auxiliares!$A$18:$B$21,2,FALSE)*VLOOKUP(A16,dados_auxiliares!$B$34:$G$57,3,FALSE)*0.04-fluxo_calor!$B$13)+(VLOOKUP(fluxo_calor!C$26,dados_auxiliares!$A$24:$D$31,4,FALSE)*(B16-fluxo_calor!$B$13)+VLOOKUP(fluxo_calor!C$26,dados_auxiliares!$A$24:$D$31,3,FALSE)*VLOOKUP(A16,dados_auxiliares!$B$34:$G$57,3,FALSE))*fluxo_calor!B$26</f>
        <v>82.072000000000045</v>
      </c>
      <c r="E16" s="66">
        <f>+(VLOOKUP(fluxo_calor!C$26,dados_auxiliares!$A$24:$D$31,4,FALSE)*(B16-fluxo_calor!$B$13)+VLOOKUP(fluxo_calor!C$26,dados_auxiliares!$A$24:$D$31,3,FALSE)*VLOOKUP(A16,dados_auxiliares!$B$34:$G$57,3,FALSE))*fluxo_calor!B$26</f>
        <v>74.792000000000016</v>
      </c>
      <c r="F16" s="65">
        <f>fluxo_calor!$B$20*fluxo_calor!$D$20*(B16+VLOOKUP(fluxo_calor!$C$20,dados_auxiliares!$A$18:$B$21,2,FALSE)*VLOOKUP(A16,dados_auxiliares!$B$34:$G$57,4,FALSE)*0.04-fluxo_calor!$B$13)+(VLOOKUP(fluxo_calor!C$27,dados_auxiliares!$A$24:$D$31,4,FALSE)*(B16-fluxo_calor!$B$13)+VLOOKUP(fluxo_calor!C$27,dados_auxiliares!$A$24:$D$31,3,FALSE)*VLOOKUP(A16,dados_auxiliares!$B$34:$G$57,4,FALSE))*fluxo_calor!B$27</f>
        <v>1939.1719999999996</v>
      </c>
      <c r="G16" s="67">
        <f>+(VLOOKUP(fluxo_calor!C$27,dados_auxiliares!$A$24:$D$31,4,FALSE)*(B16-fluxo_calor!$B$13)+VLOOKUP(fluxo_calor!C$27,dados_auxiliares!$A$24:$D$31,3,FALSE)*VLOOKUP(A16,dados_auxiliares!$B$34:$G$57,4,FALSE))*fluxo_calor!B$27</f>
        <v>1178.6919999999998</v>
      </c>
      <c r="H16" s="68">
        <f>fluxo_calor!$B$21*fluxo_calor!$D$21*(B16+VLOOKUP(fluxo_calor!$C$21,dados_auxiliares!$A$18:$B$21,2,FALSE)*VLOOKUP(A16,dados_auxiliares!$B$34:$G$57,5,FALSE)*0.04-fluxo_calor!$B$13)+(VLOOKUP(fluxo_calor!C$28,dados_auxiliares!$A$24:$D$31,4,FALSE)*(B16-fluxo_calor!$B$13)+VLOOKUP(fluxo_calor!C$28,dados_auxiliares!$A$24:$D$31,3,FALSE)*VLOOKUP(A16,dados_auxiliares!$B$34:$G$57,5,FALSE))*fluxo_calor!B$28</f>
        <v>284.81200000000001</v>
      </c>
      <c r="I16" s="66">
        <f>+(VLOOKUP(fluxo_calor!C$28,dados_auxiliares!$A$24:$D$31,4,FALSE)*(B16-fluxo_calor!$B$13)+VLOOKUP(fluxo_calor!C$28,dados_auxiliares!$A$24:$D$31,3,FALSE)*VLOOKUP(A16,dados_auxiliares!$B$34:$G$57,5,FALSE))*fluxo_calor!B$28</f>
        <v>229.172</v>
      </c>
      <c r="J16" s="68">
        <f>fluxo_calor!$B$22*fluxo_calor!$D$22*(B16+VLOOKUP(fluxo_calor!$C$22,dados_auxiliares!$A$18:$B$21,2,FALSE)*VLOOKUP(A16,dados_auxiliares!$B$34:$G$57,6,FALSE)*0.04-fluxo_calor!$B$13)+(VLOOKUP(fluxo_calor!C$29,dados_auxiliares!$A$24:$D$31,4,FALSE)*(B16-fluxo_calor!$B$13)+VLOOKUP(fluxo_calor!C$29,dados_auxiliares!$A$24:$D$31,3,FALSE)*VLOOKUP(A16,dados_auxiliares!$B$34:$G$57,6,FALSE))*fluxo_calor!B$29</f>
        <v>90.472000000000079</v>
      </c>
      <c r="K16" s="66">
        <f>+(VLOOKUP(fluxo_calor!C$29,dados_auxiliares!$A$24:$D$31,4,FALSE)*(B16-fluxo_calor!$B$13)+VLOOKUP(fluxo_calor!C$29,dados_auxiliares!$A$24:$D$31,3,FALSE)*VLOOKUP(A16,dados_auxiliares!$B$34:$G$57,6,FALSE))*fluxo_calor!B$29</f>
        <v>74.792000000000016</v>
      </c>
      <c r="L16" s="46"/>
    </row>
    <row r="17" spans="1:12">
      <c r="A17" s="51">
        <v>0.375</v>
      </c>
      <c r="B17" s="52">
        <f>fluxo_calor!B$11-fluxo_calor!B$12*VLOOKUP(A17,dados_auxiliares!B68:C91,2,FALSE)</f>
        <v>24.32</v>
      </c>
      <c r="C17" s="64">
        <f>fluxo_calor!$B$18*fluxo_calor!$D$18*(B17+VLOOKUP(fluxo_calor!$C$18,dados_auxiliares!$A$18:$B$21,2,FALSE)*VLOOKUP(A17,dados_auxiliares!$B$34:$G$57,2,FALSE)*0.04-4-fluxo_calor!$B$13)</f>
        <v>596.80000000000041</v>
      </c>
      <c r="D17" s="65">
        <f>fluxo_calor!$B$19*fluxo_calor!$D$19*(B17+VLOOKUP(fluxo_calor!$C$19,dados_auxiliares!$A$18:$B$21,2,FALSE)*VLOOKUP(A17,dados_auxiliares!$B$34:$G$57,3,FALSE)*0.04-fluxo_calor!$B$13)+(VLOOKUP(fluxo_calor!C$26,dados_auxiliares!$A$24:$D$31,4,FALSE)*(B17-fluxo_calor!$B$13)+VLOOKUP(fluxo_calor!C$26,dados_auxiliares!$A$24:$D$31,3,FALSE)*VLOOKUP(A17,dados_auxiliares!$B$34:$G$57,3,FALSE))*fluxo_calor!B$26</f>
        <v>138.40800000000002</v>
      </c>
      <c r="E17" s="66">
        <f>+(VLOOKUP(fluxo_calor!C$26,dados_auxiliares!$A$24:$D$31,4,FALSE)*(B17-fluxo_calor!$B$13)+VLOOKUP(fluxo_calor!C$26,dados_auxiliares!$A$24:$D$31,3,FALSE)*VLOOKUP(A17,dados_auxiliares!$B$34:$G$57,3,FALSE))*fluxo_calor!B$26</f>
        <v>99.927999999999997</v>
      </c>
      <c r="F17" s="65">
        <f>fluxo_calor!$B$20*fluxo_calor!$D$20*(B17+VLOOKUP(fluxo_calor!$C$20,dados_auxiliares!$A$18:$B$21,2,FALSE)*VLOOKUP(A17,dados_auxiliares!$B$34:$G$57,4,FALSE)*0.04-fluxo_calor!$B$13)+(VLOOKUP(fluxo_calor!C$27,dados_auxiliares!$A$24:$D$31,4,FALSE)*(B17-fluxo_calor!$B$13)+VLOOKUP(fluxo_calor!C$27,dados_auxiliares!$A$24:$D$31,3,FALSE)*VLOOKUP(A17,dados_auxiliares!$B$34:$G$57,4,FALSE))*fluxo_calor!B$27</f>
        <v>1875.8279999999997</v>
      </c>
      <c r="G17" s="67">
        <f>+(VLOOKUP(fluxo_calor!C$27,dados_auxiliares!$A$24:$D$31,4,FALSE)*(B17-fluxo_calor!$B$13)+VLOOKUP(fluxo_calor!C$27,dados_auxiliares!$A$24:$D$31,3,FALSE)*VLOOKUP(A17,dados_auxiliares!$B$34:$G$57,4,FALSE))*fluxo_calor!B$27</f>
        <v>1110.8679999999999</v>
      </c>
      <c r="H17" s="68">
        <f>fluxo_calor!$B$21*fluxo_calor!$D$21*(B17+VLOOKUP(fluxo_calor!$C$21,dados_auxiliares!$A$18:$B$21,2,FALSE)*VLOOKUP(A17,dados_auxiliares!$B$34:$G$57,5,FALSE)*0.04-fluxo_calor!$B$13)+(VLOOKUP(fluxo_calor!C$28,dados_auxiliares!$A$24:$D$31,4,FALSE)*(B17-fluxo_calor!$B$13)+VLOOKUP(fluxo_calor!C$28,dados_auxiliares!$A$24:$D$31,3,FALSE)*VLOOKUP(A17,dados_auxiliares!$B$34:$G$57,5,FALSE))*fluxo_calor!B$28</f>
        <v>175.46800000000002</v>
      </c>
      <c r="I17" s="66">
        <f>+(VLOOKUP(fluxo_calor!C$28,dados_auxiliares!$A$24:$D$31,4,FALSE)*(B17-fluxo_calor!$B$13)+VLOOKUP(fluxo_calor!C$28,dados_auxiliares!$A$24:$D$31,3,FALSE)*VLOOKUP(A17,dados_auxiliares!$B$34:$G$57,5,FALSE))*fluxo_calor!B$28</f>
        <v>128.148</v>
      </c>
      <c r="J17" s="68">
        <f>fluxo_calor!$B$22*fluxo_calor!$D$22*(B17+VLOOKUP(fluxo_calor!$C$22,dados_auxiliares!$A$18:$B$21,2,FALSE)*VLOOKUP(A17,dados_auxiliares!$B$34:$G$57,6,FALSE)*0.04-fluxo_calor!$B$13)+(VLOOKUP(fluxo_calor!C$29,dados_auxiliares!$A$24:$D$31,4,FALSE)*(B17-fluxo_calor!$B$13)+VLOOKUP(fluxo_calor!C$29,dados_auxiliares!$A$24:$D$31,3,FALSE)*VLOOKUP(A17,dados_auxiliares!$B$34:$G$57,6,FALSE))*fluxo_calor!B$29</f>
        <v>182.80800000000002</v>
      </c>
      <c r="K17" s="66">
        <f>+(VLOOKUP(fluxo_calor!C$29,dados_auxiliares!$A$24:$D$31,4,FALSE)*(B17-fluxo_calor!$B$13)+VLOOKUP(fluxo_calor!C$29,dados_auxiliares!$A$24:$D$31,3,FALSE)*VLOOKUP(A17,dados_auxiliares!$B$34:$G$57,6,FALSE))*fluxo_calor!B$29</f>
        <v>99.927999999999997</v>
      </c>
      <c r="L17" s="46"/>
    </row>
    <row r="18" spans="1:12">
      <c r="A18" s="51">
        <v>0.41666666666666702</v>
      </c>
      <c r="B18" s="52">
        <f>fluxo_calor!B$11-fluxo_calor!B$12*VLOOKUP(A18,dados_auxiliares!B69:C92,2,FALSE)</f>
        <v>25.52</v>
      </c>
      <c r="C18" s="64">
        <f>fluxo_calor!$B$18*fluxo_calor!$D$18*(B18+VLOOKUP(fluxo_calor!$C$18,dados_auxiliares!$A$18:$B$21,2,FALSE)*VLOOKUP(A18,dados_auxiliares!$B$34:$G$57,2,FALSE)*0.04-4-fluxo_calor!$B$13)</f>
        <v>934.00000000000034</v>
      </c>
      <c r="D18" s="65">
        <f>fluxo_calor!$B$19*fluxo_calor!$D$19*(B18+VLOOKUP(fluxo_calor!$C$19,dados_auxiliares!$A$18:$B$21,2,FALSE)*VLOOKUP(A18,dados_auxiliares!$B$34:$G$57,3,FALSE)*0.04-fluxo_calor!$B$13)+(VLOOKUP(fluxo_calor!C$26,dados_auxiliares!$A$24:$D$31,4,FALSE)*(B18-fluxo_calor!$B$13)+VLOOKUP(fluxo_calor!C$26,dados_auxiliares!$A$24:$D$31,3,FALSE)*VLOOKUP(A18,dados_auxiliares!$B$34:$G$57,3,FALSE))*fluxo_calor!B$26</f>
        <v>311.90800000000002</v>
      </c>
      <c r="E18" s="66">
        <f>+(VLOOKUP(fluxo_calor!C$26,dados_auxiliares!$A$24:$D$31,4,FALSE)*(B18-fluxo_calor!$B$13)+VLOOKUP(fluxo_calor!C$26,dados_auxiliares!$A$24:$D$31,3,FALSE)*VLOOKUP(A18,dados_auxiliares!$B$34:$G$57,3,FALSE))*fluxo_calor!B$26</f>
        <v>211.548</v>
      </c>
      <c r="F18" s="65">
        <f>fluxo_calor!$B$20*fluxo_calor!$D$20*(B18+VLOOKUP(fluxo_calor!$C$20,dados_auxiliares!$A$18:$B$21,2,FALSE)*VLOOKUP(A18,dados_auxiliares!$B$34:$G$57,4,FALSE)*0.04-fluxo_calor!$B$13)+(VLOOKUP(fluxo_calor!C$27,dados_auxiliares!$A$24:$D$31,4,FALSE)*(B18-fluxo_calor!$B$13)+VLOOKUP(fluxo_calor!C$27,dados_auxiliares!$A$24:$D$31,3,FALSE)*VLOOKUP(A18,dados_auxiliares!$B$34:$G$57,4,FALSE))*fluxo_calor!B$27</f>
        <v>1539.7079999999999</v>
      </c>
      <c r="G18" s="67">
        <f>+(VLOOKUP(fluxo_calor!C$27,dados_auxiliares!$A$24:$D$31,4,FALSE)*(B18-fluxo_calor!$B$13)+VLOOKUP(fluxo_calor!C$27,dados_auxiliares!$A$24:$D$31,3,FALSE)*VLOOKUP(A18,dados_auxiliares!$B$34:$G$57,4,FALSE))*fluxo_calor!B$27</f>
        <v>875.54799999999989</v>
      </c>
      <c r="H18" s="68">
        <f>fluxo_calor!$B$21*fluxo_calor!$D$21*(B18+VLOOKUP(fluxo_calor!$C$21,dados_auxiliares!$A$18:$B$21,2,FALSE)*VLOOKUP(A18,dados_auxiliares!$B$34:$G$57,5,FALSE)*0.04-fluxo_calor!$B$13)+(VLOOKUP(fluxo_calor!C$28,dados_auxiliares!$A$24:$D$31,4,FALSE)*(B18-fluxo_calor!$B$13)+VLOOKUP(fluxo_calor!C$28,dados_auxiliares!$A$24:$D$31,3,FALSE)*VLOOKUP(A18,dados_auxiliares!$B$34:$G$57,5,FALSE))*fluxo_calor!B$28</f>
        <v>194.18800000000002</v>
      </c>
      <c r="I18" s="66">
        <f>+(VLOOKUP(fluxo_calor!C$28,dados_auxiliares!$A$24:$D$31,4,FALSE)*(B18-fluxo_calor!$B$13)+VLOOKUP(fluxo_calor!C$28,dados_auxiliares!$A$24:$D$31,3,FALSE)*VLOOKUP(A18,dados_auxiliares!$B$34:$G$57,5,FALSE))*fluxo_calor!B$28</f>
        <v>121.90799999999999</v>
      </c>
      <c r="J18" s="68">
        <f>fluxo_calor!$B$22*fluxo_calor!$D$22*(B18+VLOOKUP(fluxo_calor!$C$22,dados_auxiliares!$A$18:$B$21,2,FALSE)*VLOOKUP(A18,dados_auxiliares!$B$34:$G$57,6,FALSE)*0.04-fluxo_calor!$B$13)+(VLOOKUP(fluxo_calor!C$29,dados_auxiliares!$A$24:$D$31,4,FALSE)*(B18-fluxo_calor!$B$13)+VLOOKUP(fluxo_calor!C$29,dados_auxiliares!$A$24:$D$31,3,FALSE)*VLOOKUP(A18,dados_auxiliares!$B$34:$G$57,6,FALSE))*fluxo_calor!B$29</f>
        <v>277.58800000000008</v>
      </c>
      <c r="K18" s="66">
        <f>+(VLOOKUP(fluxo_calor!C$29,dados_auxiliares!$A$24:$D$31,4,FALSE)*(B18-fluxo_calor!$B$13)+VLOOKUP(fluxo_calor!C$29,dados_auxiliares!$A$24:$D$31,3,FALSE)*VLOOKUP(A18,dados_auxiliares!$B$34:$G$57,6,FALSE))*fluxo_calor!B$29</f>
        <v>121.90799999999999</v>
      </c>
      <c r="L18" s="46"/>
    </row>
    <row r="19" spans="1:12">
      <c r="A19" s="51">
        <v>0.45833333333333398</v>
      </c>
      <c r="B19" s="52">
        <f>fluxo_calor!B$11-fluxo_calor!B$12*VLOOKUP(A19,dados_auxiliares!B70:C93,2,FALSE)</f>
        <v>26.88</v>
      </c>
      <c r="C19" s="64">
        <f>fluxo_calor!$B$18*fluxo_calor!$D$18*(B19+VLOOKUP(fluxo_calor!$C$18,dados_auxiliares!$A$18:$B$21,2,FALSE)*VLOOKUP(A19,dados_auxiliares!$B$34:$G$57,2,FALSE)*0.04-4-fluxo_calor!$B$13)</f>
        <v>1206.7999999999997</v>
      </c>
      <c r="D19" s="65">
        <f>fluxo_calor!$B$19*fluxo_calor!$D$19*(B19+VLOOKUP(fluxo_calor!$C$19,dados_auxiliares!$A$18:$B$21,2,FALSE)*VLOOKUP(A19,dados_auxiliares!$B$34:$G$57,3,FALSE)*0.04-fluxo_calor!$B$13)+(VLOOKUP(fluxo_calor!C$26,dados_auxiliares!$A$24:$D$31,4,FALSE)*(B19-fluxo_calor!$B$13)+VLOOKUP(fluxo_calor!C$26,dados_auxiliares!$A$24:$D$31,3,FALSE)*VLOOKUP(A19,dados_auxiliares!$B$34:$G$57,3,FALSE))*fluxo_calor!B$26</f>
        <v>478.3119999999999</v>
      </c>
      <c r="E19" s="66">
        <f>+(VLOOKUP(fluxo_calor!C$26,dados_auxiliares!$A$24:$D$31,4,FALSE)*(B19-fluxo_calor!$B$13)+VLOOKUP(fluxo_calor!C$26,dados_auxiliares!$A$24:$D$31,3,FALSE)*VLOOKUP(A19,dados_auxiliares!$B$34:$G$57,3,FALSE))*fluxo_calor!B$26</f>
        <v>315.03199999999998</v>
      </c>
      <c r="F19" s="65">
        <f>fluxo_calor!$B$20*fluxo_calor!$D$20*(B19+VLOOKUP(fluxo_calor!$C$20,dados_auxiliares!$A$18:$B$21,2,FALSE)*VLOOKUP(A19,dados_auxiliares!$B$34:$G$57,4,FALSE)*0.04-fluxo_calor!$B$13)+(VLOOKUP(fluxo_calor!C$27,dados_auxiliares!$A$24:$D$31,4,FALSE)*(B19-fluxo_calor!$B$13)+VLOOKUP(fluxo_calor!C$27,dados_auxiliares!$A$24:$D$31,3,FALSE)*VLOOKUP(A19,dados_auxiliares!$B$34:$G$57,4,FALSE))*fluxo_calor!B$27</f>
        <v>1053.1320000000001</v>
      </c>
      <c r="G19" s="67">
        <f>+(VLOOKUP(fluxo_calor!C$27,dados_auxiliares!$A$24:$D$31,4,FALSE)*(B19-fluxo_calor!$B$13)+VLOOKUP(fluxo_calor!C$27,dados_auxiliares!$A$24:$D$31,3,FALSE)*VLOOKUP(A19,dados_auxiliares!$B$34:$G$57,4,FALSE))*fluxo_calor!B$27</f>
        <v>545.77199999999993</v>
      </c>
      <c r="H19" s="68">
        <f>fluxo_calor!$B$21*fluxo_calor!$D$21*(B19+VLOOKUP(fluxo_calor!$C$21,dados_auxiliares!$A$18:$B$21,2,FALSE)*VLOOKUP(A19,dados_auxiliares!$B$34:$G$57,5,FALSE)*0.04-fluxo_calor!$B$13)+(VLOOKUP(fluxo_calor!C$28,dados_auxiliares!$A$24:$D$31,4,FALSE)*(B19-fluxo_calor!$B$13)+VLOOKUP(fluxo_calor!C$28,dados_auxiliares!$A$24:$D$31,3,FALSE)*VLOOKUP(A19,dados_auxiliares!$B$34:$G$57,5,FALSE))*fluxo_calor!B$28</f>
        <v>255.95199999999994</v>
      </c>
      <c r="I19" s="66">
        <f>+(VLOOKUP(fluxo_calor!C$28,dados_auxiliares!$A$24:$D$31,4,FALSE)*(B19-fluxo_calor!$B$13)+VLOOKUP(fluxo_calor!C$28,dados_auxiliares!$A$24:$D$31,3,FALSE)*VLOOKUP(A19,dados_auxiliares!$B$34:$G$57,5,FALSE))*fluxo_calor!B$28</f>
        <v>145.71199999999999</v>
      </c>
      <c r="J19" s="68">
        <f>fluxo_calor!$B$22*fluxo_calor!$D$22*(B19+VLOOKUP(fluxo_calor!$C$22,dados_auxiliares!$A$18:$B$21,2,FALSE)*VLOOKUP(A19,dados_auxiliares!$B$34:$G$57,6,FALSE)*0.04-fluxo_calor!$B$13)+(VLOOKUP(fluxo_calor!C$29,dados_auxiliares!$A$24:$D$31,4,FALSE)*(B19-fluxo_calor!$B$13)+VLOOKUP(fluxo_calor!C$29,dados_auxiliares!$A$24:$D$31,3,FALSE)*VLOOKUP(A19,dados_auxiliares!$B$34:$G$57,6,FALSE))*fluxo_calor!B$29</f>
        <v>383.15199999999993</v>
      </c>
      <c r="K19" s="66">
        <f>+(VLOOKUP(fluxo_calor!C$29,dados_auxiliares!$A$24:$D$31,4,FALSE)*(B19-fluxo_calor!$B$13)+VLOOKUP(fluxo_calor!C$29,dados_auxiliares!$A$24:$D$31,3,FALSE)*VLOOKUP(A19,dados_auxiliares!$B$34:$G$57,6,FALSE))*fluxo_calor!B$29</f>
        <v>145.71199999999999</v>
      </c>
      <c r="L19" s="46"/>
    </row>
    <row r="20" spans="1:12">
      <c r="A20" s="51">
        <v>0.5</v>
      </c>
      <c r="B20" s="52">
        <f>fluxo_calor!B$11-fluxo_calor!B$12*VLOOKUP(A20,dados_auxiliares!B71:C94,2,FALSE)</f>
        <v>28.16</v>
      </c>
      <c r="C20" s="64">
        <f>fluxo_calor!$B$18*fluxo_calor!$D$18*(B20+VLOOKUP(fluxo_calor!$C$18,dados_auxiliares!$A$18:$B$21,2,FALSE)*VLOOKUP(A20,dados_auxiliares!$B$34:$G$57,2,FALSE)*0.04-4-fluxo_calor!$B$13)</f>
        <v>1376.8000000000002</v>
      </c>
      <c r="D20" s="65">
        <f>fluxo_calor!$B$19*fluxo_calor!$D$19*(B20+VLOOKUP(fluxo_calor!$C$19,dados_auxiliares!$A$18:$B$21,2,FALSE)*VLOOKUP(A20,dados_auxiliares!$B$34:$G$57,3,FALSE)*0.04-fluxo_calor!$B$13)+(VLOOKUP(fluxo_calor!C$26,dados_auxiliares!$A$24:$D$31,4,FALSE)*(B20-fluxo_calor!$B$13)+VLOOKUP(fluxo_calor!C$26,dados_auxiliares!$A$24:$D$31,3,FALSE)*VLOOKUP(A20,dados_auxiliares!$B$34:$G$57,3,FALSE))*fluxo_calor!B$26</f>
        <v>545.80400000000009</v>
      </c>
      <c r="E20" s="66">
        <f>+(VLOOKUP(fluxo_calor!C$26,dados_auxiliares!$A$24:$D$31,4,FALSE)*(B20-fluxo_calor!$B$13)+VLOOKUP(fluxo_calor!C$26,dados_auxiliares!$A$24:$D$31,3,FALSE)*VLOOKUP(A20,dados_auxiliares!$B$34:$G$57,3,FALSE))*fluxo_calor!B$26</f>
        <v>344.56399999999996</v>
      </c>
      <c r="F20" s="65">
        <f>fluxo_calor!$B$20*fluxo_calor!$D$20*(B20+VLOOKUP(fluxo_calor!$C$20,dados_auxiliares!$A$18:$B$21,2,FALSE)*VLOOKUP(A20,dados_auxiliares!$B$34:$G$57,4,FALSE)*0.04-fluxo_calor!$B$13)+(VLOOKUP(fluxo_calor!C$27,dados_auxiliares!$A$24:$D$31,4,FALSE)*(B20-fluxo_calor!$B$13)+VLOOKUP(fluxo_calor!C$27,dados_auxiliares!$A$24:$D$31,3,FALSE)*VLOOKUP(A20,dados_auxiliares!$B$34:$G$57,4,FALSE))*fluxo_calor!B$27</f>
        <v>461.08400000000006</v>
      </c>
      <c r="G20" s="67">
        <f>+(VLOOKUP(fluxo_calor!C$27,dados_auxiliares!$A$24:$D$31,4,FALSE)*(B20-fluxo_calor!$B$13)+VLOOKUP(fluxo_calor!C$27,dados_auxiliares!$A$24:$D$31,3,FALSE)*VLOOKUP(A20,dados_auxiliares!$B$34:$G$57,4,FALSE))*fluxo_calor!B$27</f>
        <v>155.32400000000001</v>
      </c>
      <c r="H20" s="68">
        <f>fluxo_calor!$B$21*fluxo_calor!$D$21*(B20+VLOOKUP(fluxo_calor!$C$21,dados_auxiliares!$A$18:$B$21,2,FALSE)*VLOOKUP(A20,dados_auxiliares!$B$34:$G$57,5,FALSE)*0.04-fluxo_calor!$B$13)+(VLOOKUP(fluxo_calor!C$28,dados_auxiliares!$A$24:$D$31,4,FALSE)*(B20-fluxo_calor!$B$13)+VLOOKUP(fluxo_calor!C$28,dados_auxiliares!$A$24:$D$31,3,FALSE)*VLOOKUP(A20,dados_auxiliares!$B$34:$G$57,5,FALSE))*fluxo_calor!B$28</f>
        <v>297.28400000000005</v>
      </c>
      <c r="I20" s="66">
        <f>+(VLOOKUP(fluxo_calor!C$28,dados_auxiliares!$A$24:$D$31,4,FALSE)*(B20-fluxo_calor!$B$13)+VLOOKUP(fluxo_calor!C$28,dados_auxiliares!$A$24:$D$31,3,FALSE)*VLOOKUP(A20,dados_auxiliares!$B$34:$G$57,5,FALSE))*fluxo_calor!B$28</f>
        <v>155.32400000000001</v>
      </c>
      <c r="J20" s="68">
        <f>fluxo_calor!$B$22*fluxo_calor!$D$22*(B20+VLOOKUP(fluxo_calor!$C$22,dados_auxiliares!$A$18:$B$21,2,FALSE)*VLOOKUP(A20,dados_auxiliares!$B$34:$G$57,6,FALSE)*0.04-fluxo_calor!$B$13)+(VLOOKUP(fluxo_calor!C$29,dados_auxiliares!$A$24:$D$31,4,FALSE)*(B20-fluxo_calor!$B$13)+VLOOKUP(fluxo_calor!C$29,dados_auxiliares!$A$24:$D$31,3,FALSE)*VLOOKUP(A20,dados_auxiliares!$B$34:$G$57,6,FALSE))*fluxo_calor!B$29</f>
        <v>461.08400000000006</v>
      </c>
      <c r="K20" s="66">
        <f>+(VLOOKUP(fluxo_calor!C$29,dados_auxiliares!$A$24:$D$31,4,FALSE)*(B20-fluxo_calor!$B$13)+VLOOKUP(fluxo_calor!C$29,dados_auxiliares!$A$24:$D$31,3,FALSE)*VLOOKUP(A20,dados_auxiliares!$B$34:$G$57,6,FALSE))*fluxo_calor!B$29</f>
        <v>155.32400000000001</v>
      </c>
      <c r="L20" s="46"/>
    </row>
    <row r="21" spans="1:12">
      <c r="A21" s="51">
        <v>0.54166666666666696</v>
      </c>
      <c r="B21" s="52">
        <f>fluxo_calor!B$11-fluxo_calor!B$12*VLOOKUP(A21,dados_auxiliares!B72:C95,2,FALSE)</f>
        <v>29.12</v>
      </c>
      <c r="C21" s="64">
        <f>fluxo_calor!$B$18*fluxo_calor!$D$18*(B21+VLOOKUP(fluxo_calor!$C$18,dados_auxiliares!$A$18:$B$21,2,FALSE)*VLOOKUP(A21,dados_auxiliares!$B$34:$G$57,2,FALSE)*0.04-4-fluxo_calor!$B$13)</f>
        <v>1430.8</v>
      </c>
      <c r="D21" s="65">
        <f>fluxo_calor!$B$19*fluxo_calor!$D$19*(B21+VLOOKUP(fluxo_calor!$C$19,dados_auxiliares!$A$18:$B$21,2,FALSE)*VLOOKUP(A21,dados_auxiliares!$B$34:$G$57,3,FALSE)*0.04-fluxo_calor!$B$13)+(VLOOKUP(fluxo_calor!C$26,dados_auxiliares!$A$24:$D$31,4,FALSE)*(B21-fluxo_calor!$B$13)+VLOOKUP(fluxo_calor!C$26,dados_auxiliares!$A$24:$D$31,3,FALSE)*VLOOKUP(A21,dados_auxiliares!$B$34:$G$57,3,FALSE))*fluxo_calor!B$26</f>
        <v>562.08800000000008</v>
      </c>
      <c r="E21" s="66">
        <f>+(VLOOKUP(fluxo_calor!C$26,dados_auxiliares!$A$24:$D$31,4,FALSE)*(B21-fluxo_calor!$B$13)+VLOOKUP(fluxo_calor!C$26,dados_auxiliares!$A$24:$D$31,3,FALSE)*VLOOKUP(A21,dados_auxiliares!$B$34:$G$57,3,FALSE))*fluxo_calor!B$26</f>
        <v>340.56799999999998</v>
      </c>
      <c r="F21" s="65">
        <f>fluxo_calor!$B$20*fluxo_calor!$D$20*(B21+VLOOKUP(fluxo_calor!$C$20,dados_auxiliares!$A$18:$B$21,2,FALSE)*VLOOKUP(A21,dados_auxiliares!$B$34:$G$57,4,FALSE)*0.04-fluxo_calor!$B$13)+(VLOOKUP(fluxo_calor!C$27,dados_auxiliares!$A$24:$D$31,4,FALSE)*(B21-fluxo_calor!$B$13)+VLOOKUP(fluxo_calor!C$27,dados_auxiliares!$A$24:$D$31,3,FALSE)*VLOOKUP(A21,dados_auxiliares!$B$34:$G$57,4,FALSE))*fluxo_calor!B$27</f>
        <v>534.12800000000004</v>
      </c>
      <c r="G21" s="67">
        <f>+(VLOOKUP(fluxo_calor!C$27,dados_auxiliares!$A$24:$D$31,4,FALSE)*(B21-fluxo_calor!$B$13)+VLOOKUP(fluxo_calor!C$27,dados_auxiliares!$A$24:$D$31,3,FALSE)*VLOOKUP(A21,dados_auxiliares!$B$34:$G$57,4,FALSE))*fluxo_calor!B$27</f>
        <v>171.24800000000002</v>
      </c>
      <c r="H21" s="68">
        <f>fluxo_calor!$B$21*fluxo_calor!$D$21*(B21+VLOOKUP(fluxo_calor!$C$21,dados_auxiliares!$A$18:$B$21,2,FALSE)*VLOOKUP(A21,dados_auxiliares!$B$34:$G$57,5,FALSE)*0.04-fluxo_calor!$B$13)+(VLOOKUP(fluxo_calor!C$28,dados_auxiliares!$A$24:$D$31,4,FALSE)*(B21-fluxo_calor!$B$13)+VLOOKUP(fluxo_calor!C$28,dados_auxiliares!$A$24:$D$31,3,FALSE)*VLOOKUP(A21,dados_auxiliares!$B$34:$G$57,5,FALSE))*fluxo_calor!B$28</f>
        <v>339.72800000000007</v>
      </c>
      <c r="I21" s="66">
        <f>+(VLOOKUP(fluxo_calor!C$28,dados_auxiliares!$A$24:$D$31,4,FALSE)*(B21-fluxo_calor!$B$13)+VLOOKUP(fluxo_calor!C$28,dados_auxiliares!$A$24:$D$31,3,FALSE)*VLOOKUP(A21,dados_auxiliares!$B$34:$G$57,5,FALSE))*fluxo_calor!B$28</f>
        <v>171.24800000000002</v>
      </c>
      <c r="J21" s="68">
        <f>fluxo_calor!$B$22*fluxo_calor!$D$22*(B21+VLOOKUP(fluxo_calor!$C$22,dados_auxiliares!$A$18:$B$21,2,FALSE)*VLOOKUP(A21,dados_auxiliares!$B$34:$G$57,6,FALSE)*0.04-fluxo_calor!$B$13)+(VLOOKUP(fluxo_calor!C$29,dados_auxiliares!$A$24:$D$31,4,FALSE)*(B21-fluxo_calor!$B$13)+VLOOKUP(fluxo_calor!C$29,dados_auxiliares!$A$24:$D$31,3,FALSE)*VLOOKUP(A21,dados_auxiliares!$B$34:$G$57,6,FALSE))*fluxo_calor!B$29</f>
        <v>1204.1079999999997</v>
      </c>
      <c r="K21" s="66">
        <f>+(VLOOKUP(fluxo_calor!C$29,dados_auxiliares!$A$24:$D$31,4,FALSE)*(B21-fluxo_calor!$B$13)+VLOOKUP(fluxo_calor!C$29,dados_auxiliares!$A$24:$D$31,3,FALSE)*VLOOKUP(A21,dados_auxiliares!$B$34:$G$57,6,FALSE))*fluxo_calor!B$29</f>
        <v>571.30799999999999</v>
      </c>
      <c r="L21" s="46"/>
    </row>
    <row r="22" spans="1:12">
      <c r="A22" s="51">
        <v>0.58333333333333404</v>
      </c>
      <c r="B22" s="52">
        <f>fluxo_calor!B$11-fluxo_calor!B$12*VLOOKUP(A22,dados_auxiliares!B73:C96,2,FALSE)</f>
        <v>29.76</v>
      </c>
      <c r="C22" s="64">
        <f>fluxo_calor!$B$18*fluxo_calor!$D$18*(B22+VLOOKUP(fluxo_calor!$C$18,dados_auxiliares!$A$18:$B$21,2,FALSE)*VLOOKUP(A22,dados_auxiliares!$B$34:$G$57,2,FALSE)*0.04-4-fluxo_calor!$B$13)</f>
        <v>1357.9999999999998</v>
      </c>
      <c r="D22" s="65">
        <f>fluxo_calor!$B$19*fluxo_calor!$D$19*(B22+VLOOKUP(fluxo_calor!$C$19,dados_auxiliares!$A$18:$B$21,2,FALSE)*VLOOKUP(A22,dados_auxiliares!$B$34:$G$57,3,FALSE)*0.04-fluxo_calor!$B$13)+(VLOOKUP(fluxo_calor!C$26,dados_auxiliares!$A$24:$D$31,4,FALSE)*(B22-fluxo_calor!$B$13)+VLOOKUP(fluxo_calor!C$26,dados_auxiliares!$A$24:$D$31,3,FALSE)*VLOOKUP(A22,dados_auxiliares!$B$34:$G$57,3,FALSE))*fluxo_calor!B$26</f>
        <v>470.48400000000004</v>
      </c>
      <c r="E22" s="66">
        <f>+(VLOOKUP(fluxo_calor!C$26,dados_auxiliares!$A$24:$D$31,4,FALSE)*(B22-fluxo_calor!$B$13)+VLOOKUP(fluxo_calor!C$26,dados_auxiliares!$A$24:$D$31,3,FALSE)*VLOOKUP(A22,dados_auxiliares!$B$34:$G$57,3,FALSE))*fluxo_calor!B$26</f>
        <v>259.88400000000001</v>
      </c>
      <c r="F22" s="65">
        <f>fluxo_calor!$B$20*fluxo_calor!$D$20*(B22+VLOOKUP(fluxo_calor!$C$20,dados_auxiliares!$A$18:$B$21,2,FALSE)*VLOOKUP(A22,dados_auxiliares!$B$34:$G$57,4,FALSE)*0.04-fluxo_calor!$B$13)+(VLOOKUP(fluxo_calor!C$27,dados_auxiliares!$A$24:$D$31,4,FALSE)*(B22-fluxo_calor!$B$13)+VLOOKUP(fluxo_calor!C$27,dados_auxiliares!$A$24:$D$31,3,FALSE)*VLOOKUP(A22,dados_auxiliares!$B$34:$G$57,4,FALSE))*fluxo_calor!B$27</f>
        <v>563.36400000000026</v>
      </c>
      <c r="G22" s="67">
        <f>+(VLOOKUP(fluxo_calor!C$27,dados_auxiliares!$A$24:$D$31,4,FALSE)*(B22-fluxo_calor!$B$13)+VLOOKUP(fluxo_calor!C$27,dados_auxiliares!$A$24:$D$31,3,FALSE)*VLOOKUP(A22,dados_auxiliares!$B$34:$G$57,4,FALSE))*fluxo_calor!B$27</f>
        <v>170.24400000000003</v>
      </c>
      <c r="H22" s="68">
        <f>fluxo_calor!$B$21*fluxo_calor!$D$21*(B22+VLOOKUP(fluxo_calor!$C$21,dados_auxiliares!$A$18:$B$21,2,FALSE)*VLOOKUP(A22,dados_auxiliares!$B$34:$G$57,5,FALSE)*0.04-fluxo_calor!$B$13)+(VLOOKUP(fluxo_calor!C$28,dados_auxiliares!$A$24:$D$31,4,FALSE)*(B22-fluxo_calor!$B$13)+VLOOKUP(fluxo_calor!C$28,dados_auxiliares!$A$24:$D$31,3,FALSE)*VLOOKUP(A22,dados_auxiliares!$B$34:$G$57,5,FALSE))*fluxo_calor!B$28</f>
        <v>352.76400000000012</v>
      </c>
      <c r="I22" s="66">
        <f>+(VLOOKUP(fluxo_calor!C$28,dados_auxiliares!$A$24:$D$31,4,FALSE)*(B22-fluxo_calor!$B$13)+VLOOKUP(fluxo_calor!C$28,dados_auxiliares!$A$24:$D$31,3,FALSE)*VLOOKUP(A22,dados_auxiliares!$B$34:$G$57,5,FALSE))*fluxo_calor!B$28</f>
        <v>170.24400000000003</v>
      </c>
      <c r="J22" s="68">
        <f>fluxo_calor!$B$22*fluxo_calor!$D$22*(B22+VLOOKUP(fluxo_calor!$C$22,dados_auxiliares!$A$18:$B$21,2,FALSE)*VLOOKUP(A22,dados_auxiliares!$B$34:$G$57,6,FALSE)*0.04-fluxo_calor!$B$13)+(VLOOKUP(fluxo_calor!C$29,dados_auxiliares!$A$24:$D$31,4,FALSE)*(B22-fluxo_calor!$B$13)+VLOOKUP(fluxo_calor!C$29,dados_auxiliares!$A$24:$D$31,3,FALSE)*VLOOKUP(A22,dados_auxiliares!$B$34:$G$57,6,FALSE))*fluxo_calor!B$29</f>
        <v>1825.4839999999999</v>
      </c>
      <c r="K22" s="66">
        <f>+(VLOOKUP(fluxo_calor!C$29,dados_auxiliares!$A$24:$D$31,4,FALSE)*(B22-fluxo_calor!$B$13)+VLOOKUP(fluxo_calor!C$29,dados_auxiliares!$A$24:$D$31,3,FALSE)*VLOOKUP(A22,dados_auxiliares!$B$34:$G$57,6,FALSE))*fluxo_calor!B$29</f>
        <v>923.8839999999999</v>
      </c>
      <c r="L22" s="46"/>
    </row>
    <row r="23" spans="1:12">
      <c r="A23" s="51">
        <v>0.625</v>
      </c>
      <c r="B23" s="52">
        <f>fluxo_calor!B$11-fluxo_calor!B$12*VLOOKUP(A23,dados_auxiliares!B74:C97,2,FALSE)</f>
        <v>30</v>
      </c>
      <c r="C23" s="64">
        <f>fluxo_calor!$B$18*fluxo_calor!$D$18*(B23+VLOOKUP(fluxo_calor!$C$18,dados_auxiliares!$A$18:$B$21,2,FALSE)*VLOOKUP(A23,dados_auxiliares!$B$34:$G$57,2,FALSE)*0.04-4-fluxo_calor!$B$13)</f>
        <v>1164.7999999999997</v>
      </c>
      <c r="D23" s="65">
        <f>fluxo_calor!$B$19*fluxo_calor!$D$19*(B23+VLOOKUP(fluxo_calor!$C$19,dados_auxiliares!$A$18:$B$21,2,FALSE)*VLOOKUP(A23,dados_auxiliares!$B$34:$G$57,3,FALSE)*0.04-fluxo_calor!$B$13)+(VLOOKUP(fluxo_calor!C$26,dados_auxiliares!$A$24:$D$31,4,FALSE)*(B23-fluxo_calor!$B$13)+VLOOKUP(fluxo_calor!C$26,dados_auxiliares!$A$24:$D$31,3,FALSE)*VLOOKUP(A23,dados_auxiliares!$B$34:$G$57,3,FALSE))*fluxo_calor!B$26</f>
        <v>350.84000000000003</v>
      </c>
      <c r="E23" s="66">
        <f>+(VLOOKUP(fluxo_calor!C$26,dados_auxiliares!$A$24:$D$31,4,FALSE)*(B23-fluxo_calor!$B$13)+VLOOKUP(fluxo_calor!C$26,dados_auxiliares!$A$24:$D$31,3,FALSE)*VLOOKUP(A23,dados_auxiliares!$B$34:$G$57,3,FALSE))*fluxo_calor!B$26</f>
        <v>164.68</v>
      </c>
      <c r="F23" s="65">
        <f>fluxo_calor!$B$20*fluxo_calor!$D$20*(B23+VLOOKUP(fluxo_calor!$C$20,dados_auxiliares!$A$18:$B$21,2,FALSE)*VLOOKUP(A23,dados_auxiliares!$B$34:$G$57,4,FALSE)*0.04-fluxo_calor!$B$13)+(VLOOKUP(fluxo_calor!C$27,dados_auxiliares!$A$24:$D$31,4,FALSE)*(B23-fluxo_calor!$B$13)+VLOOKUP(fluxo_calor!C$27,dados_auxiliares!$A$24:$D$31,3,FALSE)*VLOOKUP(A23,dados_auxiliares!$B$34:$G$57,4,FALSE))*fluxo_calor!B$27</f>
        <v>565.6400000000001</v>
      </c>
      <c r="G23" s="67">
        <f>+(VLOOKUP(fluxo_calor!C$27,dados_auxiliares!$A$24:$D$31,4,FALSE)*(B23-fluxo_calor!$B$13)+VLOOKUP(fluxo_calor!C$27,dados_auxiliares!$A$24:$D$31,3,FALSE)*VLOOKUP(A23,dados_auxiliares!$B$34:$G$57,4,FALSE))*fluxo_calor!B$27</f>
        <v>164.68</v>
      </c>
      <c r="H23" s="68">
        <f>fluxo_calor!$B$21*fluxo_calor!$D$21*(B23+VLOOKUP(fluxo_calor!$C$21,dados_auxiliares!$A$18:$B$21,2,FALSE)*VLOOKUP(A23,dados_auxiliares!$B$34:$G$57,5,FALSE)*0.04-fluxo_calor!$B$13)+(VLOOKUP(fluxo_calor!C$28,dados_auxiliares!$A$24:$D$31,4,FALSE)*(B23-fluxo_calor!$B$13)+VLOOKUP(fluxo_calor!C$28,dados_auxiliares!$A$24:$D$31,3,FALSE)*VLOOKUP(A23,dados_auxiliares!$B$34:$G$57,5,FALSE))*fluxo_calor!B$28</f>
        <v>394.43999999999994</v>
      </c>
      <c r="I23" s="66">
        <f>+(VLOOKUP(fluxo_calor!C$28,dados_auxiliares!$A$24:$D$31,4,FALSE)*(B23-fluxo_calor!$B$13)+VLOOKUP(fluxo_calor!C$28,dados_auxiliares!$A$24:$D$31,3,FALSE)*VLOOKUP(A23,dados_auxiliares!$B$34:$G$57,5,FALSE))*fluxo_calor!B$28</f>
        <v>197.88</v>
      </c>
      <c r="J23" s="68">
        <f>fluxo_calor!$B$22*fluxo_calor!$D$22*(B23+VLOOKUP(fluxo_calor!$C$22,dados_auxiliares!$A$18:$B$21,2,FALSE)*VLOOKUP(A23,dados_auxiliares!$B$34:$G$57,6,FALSE)*0.04-fluxo_calor!$B$13)+(VLOOKUP(fluxo_calor!C$29,dados_auxiliares!$A$24:$D$31,4,FALSE)*(B23-fluxo_calor!$B$13)+VLOOKUP(fluxo_calor!C$29,dados_auxiliares!$A$24:$D$31,3,FALSE)*VLOOKUP(A23,dados_auxiliares!$B$34:$G$57,6,FALSE))*fluxo_calor!B$29</f>
        <v>2258.6600000000003</v>
      </c>
      <c r="K23" s="66">
        <f>+(VLOOKUP(fluxo_calor!C$29,dados_auxiliares!$A$24:$D$31,4,FALSE)*(B23-fluxo_calor!$B$13)+VLOOKUP(fluxo_calor!C$29,dados_auxiliares!$A$24:$D$31,3,FALSE)*VLOOKUP(A23,dados_auxiliares!$B$34:$G$57,6,FALSE))*fluxo_calor!B$29</f>
        <v>1175.6200000000001</v>
      </c>
      <c r="L23" s="46"/>
    </row>
    <row r="24" spans="1:12">
      <c r="A24" s="51">
        <v>0.66666666666666696</v>
      </c>
      <c r="B24" s="52">
        <f>fluxo_calor!B$11-fluxo_calor!B$12*VLOOKUP(A24,dados_auxiliares!B75:C98,2,FALSE)</f>
        <v>29.76</v>
      </c>
      <c r="C24" s="64">
        <f>fluxo_calor!$B$18*fluxo_calor!$D$18*(B24+VLOOKUP(fluxo_calor!$C$18,dados_auxiliares!$A$18:$B$21,2,FALSE)*VLOOKUP(A24,dados_auxiliares!$B$34:$G$57,2,FALSE)*0.04-4-fluxo_calor!$B$13)</f>
        <v>881.60000000000025</v>
      </c>
      <c r="D24" s="65">
        <f>fluxo_calor!$B$19*fluxo_calor!$D$19*(B24+VLOOKUP(fluxo_calor!$C$19,dados_auxiliares!$A$18:$B$21,2,FALSE)*VLOOKUP(A24,dados_auxiliares!$B$34:$G$57,3,FALSE)*0.04-fluxo_calor!$B$13)+(VLOOKUP(fluxo_calor!C$26,dados_auxiliares!$A$24:$D$31,4,FALSE)*(B24-fluxo_calor!$B$13)+VLOOKUP(fluxo_calor!C$26,dados_auxiliares!$A$24:$D$31,3,FALSE)*VLOOKUP(A24,dados_auxiliares!$B$34:$G$57,3,FALSE))*fluxo_calor!B$26</f>
        <v>324.42400000000009</v>
      </c>
      <c r="E24" s="66">
        <f>+(VLOOKUP(fluxo_calor!C$26,dados_auxiliares!$A$24:$D$31,4,FALSE)*(B24-fluxo_calor!$B$13)+VLOOKUP(fluxo_calor!C$26,dados_auxiliares!$A$24:$D$31,3,FALSE)*VLOOKUP(A24,dados_auxiliares!$B$34:$G$57,3,FALSE))*fluxo_calor!B$26</f>
        <v>148.66400000000002</v>
      </c>
      <c r="F24" s="65">
        <f>fluxo_calor!$B$20*fluxo_calor!$D$20*(B24+VLOOKUP(fluxo_calor!$C$20,dados_auxiliares!$A$18:$B$21,2,FALSE)*VLOOKUP(A24,dados_auxiliares!$B$34:$G$57,4,FALSE)*0.04-fluxo_calor!$B$13)+(VLOOKUP(fluxo_calor!C$27,dados_auxiliares!$A$24:$D$31,4,FALSE)*(B24-fluxo_calor!$B$13)+VLOOKUP(fluxo_calor!C$27,dados_auxiliares!$A$24:$D$31,3,FALSE)*VLOOKUP(A24,dados_auxiliares!$B$34:$G$57,4,FALSE))*fluxo_calor!B$27</f>
        <v>527.22400000000005</v>
      </c>
      <c r="G24" s="67">
        <f>+(VLOOKUP(fluxo_calor!C$27,dados_auxiliares!$A$24:$D$31,4,FALSE)*(B24-fluxo_calor!$B$13)+VLOOKUP(fluxo_calor!C$27,dados_auxiliares!$A$24:$D$31,3,FALSE)*VLOOKUP(A24,dados_auxiliares!$B$34:$G$57,4,FALSE))*fluxo_calor!B$27</f>
        <v>148.66400000000002</v>
      </c>
      <c r="H24" s="68">
        <f>fluxo_calor!$B$21*fluxo_calor!$D$21*(B24+VLOOKUP(fluxo_calor!$C$21,dados_auxiliares!$A$18:$B$21,2,FALSE)*VLOOKUP(A24,dados_auxiliares!$B$34:$G$57,5,FALSE)*0.04-fluxo_calor!$B$13)+(VLOOKUP(fluxo_calor!C$28,dados_auxiliares!$A$24:$D$31,4,FALSE)*(B24-fluxo_calor!$B$13)+VLOOKUP(fluxo_calor!C$28,dados_auxiliares!$A$24:$D$31,3,FALSE)*VLOOKUP(A24,dados_auxiliares!$B$34:$G$57,5,FALSE))*fluxo_calor!B$28</f>
        <v>527.1640000000001</v>
      </c>
      <c r="I24" s="66">
        <f>+(VLOOKUP(fluxo_calor!C$28,dados_auxiliares!$A$24:$D$31,4,FALSE)*(B24-fluxo_calor!$B$13)+VLOOKUP(fluxo_calor!C$28,dados_auxiliares!$A$24:$D$31,3,FALSE)*VLOOKUP(A24,dados_auxiliares!$B$34:$G$57,5,FALSE))*fluxo_calor!B$28</f>
        <v>303.04399999999998</v>
      </c>
      <c r="J24" s="68">
        <f>fluxo_calor!$B$22*fluxo_calor!$D$22*(B24+VLOOKUP(fluxo_calor!$C$22,dados_auxiliares!$A$18:$B$21,2,FALSE)*VLOOKUP(A24,dados_auxiliares!$B$34:$G$57,6,FALSE)*0.04-fluxo_calor!$B$13)+(VLOOKUP(fluxo_calor!C$29,dados_auxiliares!$A$24:$D$31,4,FALSE)*(B24-fluxo_calor!$B$13)+VLOOKUP(fluxo_calor!C$29,dados_auxiliares!$A$24:$D$31,3,FALSE)*VLOOKUP(A24,dados_auxiliares!$B$34:$G$57,6,FALSE))*fluxo_calor!B$29</f>
        <v>2375.924</v>
      </c>
      <c r="K24" s="66">
        <f>+(VLOOKUP(fluxo_calor!C$29,dados_auxiliares!$A$24:$D$31,4,FALSE)*(B24-fluxo_calor!$B$13)+VLOOKUP(fluxo_calor!C$29,dados_auxiliares!$A$24:$D$31,3,FALSE)*VLOOKUP(A24,dados_auxiliares!$B$34:$G$57,6,FALSE))*fluxo_calor!B$29</f>
        <v>1252.5639999999999</v>
      </c>
      <c r="L24" s="46"/>
    </row>
    <row r="25" spans="1:12">
      <c r="A25" s="51">
        <v>0.70833333333333404</v>
      </c>
      <c r="B25" s="52">
        <f>fluxo_calor!B$11-fluxo_calor!B$12*VLOOKUP(A25,dados_auxiliares!B76:C99,2,FALSE)</f>
        <v>29.2</v>
      </c>
      <c r="C25" s="64">
        <f>fluxo_calor!$B$18*fluxo_calor!$D$18*(B25+VLOOKUP(fluxo_calor!$C$18,dados_auxiliares!$A$18:$B$21,2,FALSE)*VLOOKUP(A25,dados_auxiliares!$B$34:$G$57,2,FALSE)*0.04-4-fluxo_calor!$B$13)</f>
        <v>533.99999999999966</v>
      </c>
      <c r="D25" s="65">
        <f>fluxo_calor!$B$19*fluxo_calor!$D$19*(B25+VLOOKUP(fluxo_calor!$C$19,dados_auxiliares!$A$18:$B$21,2,FALSE)*VLOOKUP(A25,dados_auxiliares!$B$34:$G$57,3,FALSE)*0.04-fluxo_calor!$B$13)+(VLOOKUP(fluxo_calor!C$26,dados_auxiliares!$A$24:$D$31,4,FALSE)*(B25-fluxo_calor!$B$13)+VLOOKUP(fluxo_calor!C$26,dados_auxiliares!$A$24:$D$31,3,FALSE)*VLOOKUP(A25,dados_auxiliares!$B$34:$G$57,3,FALSE))*fluxo_calor!B$26</f>
        <v>288.21999999999997</v>
      </c>
      <c r="E25" s="66">
        <f>+(VLOOKUP(fluxo_calor!C$26,dados_auxiliares!$A$24:$D$31,4,FALSE)*(B25-fluxo_calor!$B$13)+VLOOKUP(fluxo_calor!C$26,dados_auxiliares!$A$24:$D$31,3,FALSE)*VLOOKUP(A25,dados_auxiliares!$B$34:$G$57,3,FALSE))*fluxo_calor!B$26</f>
        <v>130.66</v>
      </c>
      <c r="F25" s="65">
        <f>fluxo_calor!$B$20*fluxo_calor!$D$20*(B25+VLOOKUP(fluxo_calor!$C$20,dados_auxiliares!$A$18:$B$21,2,FALSE)*VLOOKUP(A25,dados_auxiliares!$B$34:$G$57,4,FALSE)*0.04-fluxo_calor!$B$13)+(VLOOKUP(fluxo_calor!C$27,dados_auxiliares!$A$24:$D$31,4,FALSE)*(B25-fluxo_calor!$B$13)+VLOOKUP(fluxo_calor!C$27,dados_auxiliares!$A$24:$D$31,3,FALSE)*VLOOKUP(A25,dados_auxiliares!$B$34:$G$57,4,FALSE))*fluxo_calor!B$27</f>
        <v>470.01999999999987</v>
      </c>
      <c r="G25" s="67">
        <f>+(VLOOKUP(fluxo_calor!C$27,dados_auxiliares!$A$24:$D$31,4,FALSE)*(B25-fluxo_calor!$B$13)+VLOOKUP(fluxo_calor!C$27,dados_auxiliares!$A$24:$D$31,3,FALSE)*VLOOKUP(A25,dados_auxiliares!$B$34:$G$57,4,FALSE))*fluxo_calor!B$27</f>
        <v>130.66</v>
      </c>
      <c r="H25" s="68">
        <f>fluxo_calor!$B$21*fluxo_calor!$D$21*(B25+VLOOKUP(fluxo_calor!$C$21,dados_auxiliares!$A$18:$B$21,2,FALSE)*VLOOKUP(A25,dados_auxiliares!$B$34:$G$57,5,FALSE)*0.04-fluxo_calor!$B$13)+(VLOOKUP(fluxo_calor!C$28,dados_auxiliares!$A$24:$D$31,4,FALSE)*(B25-fluxo_calor!$B$13)+VLOOKUP(fluxo_calor!C$28,dados_auxiliares!$A$24:$D$31,3,FALSE)*VLOOKUP(A25,dados_auxiliares!$B$34:$G$57,5,FALSE))*fluxo_calor!B$28</f>
        <v>604.31999999999994</v>
      </c>
      <c r="I25" s="66">
        <f>+(VLOOKUP(fluxo_calor!C$28,dados_auxiliares!$A$24:$D$31,4,FALSE)*(B25-fluxo_calor!$B$13)+VLOOKUP(fluxo_calor!C$28,dados_auxiliares!$A$24:$D$31,3,FALSE)*VLOOKUP(A25,dados_auxiliares!$B$34:$G$57,5,FALSE))*fluxo_calor!B$28</f>
        <v>371.35999999999996</v>
      </c>
      <c r="J25" s="68">
        <f>fluxo_calor!$B$22*fluxo_calor!$D$22*(B25+VLOOKUP(fluxo_calor!$C$22,dados_auxiliares!$A$18:$B$21,2,FALSE)*VLOOKUP(A25,dados_auxiliares!$B$34:$G$57,6,FALSE)*0.04-fluxo_calor!$B$13)+(VLOOKUP(fluxo_calor!C$29,dados_auxiliares!$A$24:$D$31,4,FALSE)*(B25-fluxo_calor!$B$13)+VLOOKUP(fluxo_calor!C$29,dados_auxiliares!$A$24:$D$31,3,FALSE)*VLOOKUP(A25,dados_auxiliares!$B$34:$G$57,6,FALSE))*fluxo_calor!B$29</f>
        <v>2110.2199999999998</v>
      </c>
      <c r="K25" s="66">
        <f>+(VLOOKUP(fluxo_calor!C$29,dados_auxiliares!$A$24:$D$31,4,FALSE)*(B25-fluxo_calor!$B$13)+VLOOKUP(fluxo_calor!C$29,dados_auxiliares!$A$24:$D$31,3,FALSE)*VLOOKUP(A25,dados_auxiliares!$B$34:$G$57,6,FALSE))*fluxo_calor!B$29</f>
        <v>1110.06</v>
      </c>
      <c r="L25" s="46"/>
    </row>
    <row r="26" spans="1:12">
      <c r="A26" s="51">
        <v>0.75</v>
      </c>
      <c r="B26" s="52">
        <f>fluxo_calor!B$11-fluxo_calor!B$12*VLOOKUP(A26,dados_auxiliares!B77:C100,2,FALSE)</f>
        <v>28.32</v>
      </c>
      <c r="C26" s="64">
        <f>fluxo_calor!$B$18*fluxo_calor!$D$18*(B26+VLOOKUP(fluxo_calor!$C$18,dados_auxiliares!$A$18:$B$21,2,FALSE)*VLOOKUP(A26,dados_auxiliares!$B$34:$G$57,2,FALSE)*0.04-4-fluxo_calor!$B$13)</f>
        <v>168.7999999999999</v>
      </c>
      <c r="D26" s="65">
        <f>fluxo_calor!$B$19*fluxo_calor!$D$19*(B26+VLOOKUP(fluxo_calor!$C$19,dados_auxiliares!$A$18:$B$21,2,FALSE)*VLOOKUP(A26,dados_auxiliares!$B$34:$G$57,3,FALSE)*0.04-fluxo_calor!$B$13)+(VLOOKUP(fluxo_calor!C$26,dados_auxiliares!$A$24:$D$31,4,FALSE)*(B26-fluxo_calor!$B$13)+VLOOKUP(fluxo_calor!C$26,dados_auxiliares!$A$24:$D$31,3,FALSE)*VLOOKUP(A26,dados_auxiliares!$B$34:$G$57,3,FALSE))*fluxo_calor!B$26</f>
        <v>216.06800000000001</v>
      </c>
      <c r="E26" s="66">
        <f>+(VLOOKUP(fluxo_calor!C$26,dados_auxiliares!$A$24:$D$31,4,FALSE)*(B26-fluxo_calor!$B$13)+VLOOKUP(fluxo_calor!C$26,dados_auxiliares!$A$24:$D$31,3,FALSE)*VLOOKUP(A26,dados_auxiliares!$B$34:$G$57,3,FALSE))*fluxo_calor!B$26</f>
        <v>90.748000000000005</v>
      </c>
      <c r="F26" s="65">
        <f>fluxo_calor!$B$20*fluxo_calor!$D$20*(B26+VLOOKUP(fluxo_calor!$C$20,dados_auxiliares!$A$18:$B$21,2,FALSE)*VLOOKUP(A26,dados_auxiliares!$B$34:$G$57,4,FALSE)*0.04-fluxo_calor!$B$13)+(VLOOKUP(fluxo_calor!C$27,dados_auxiliares!$A$24:$D$31,4,FALSE)*(B26-fluxo_calor!$B$13)+VLOOKUP(fluxo_calor!C$27,dados_auxiliares!$A$24:$D$31,3,FALSE)*VLOOKUP(A26,dados_auxiliares!$B$34:$G$57,4,FALSE))*fluxo_calor!B$27</f>
        <v>360.66800000000001</v>
      </c>
      <c r="G26" s="67">
        <f>+(VLOOKUP(fluxo_calor!C$27,dados_auxiliares!$A$24:$D$31,4,FALSE)*(B26-fluxo_calor!$B$13)+VLOOKUP(fluxo_calor!C$27,dados_auxiliares!$A$24:$D$31,3,FALSE)*VLOOKUP(A26,dados_auxiliares!$B$34:$G$57,4,FALSE))*fluxo_calor!B$27</f>
        <v>90.748000000000005</v>
      </c>
      <c r="H26" s="68">
        <f>fluxo_calor!$B$21*fluxo_calor!$D$21*(B26+VLOOKUP(fluxo_calor!$C$21,dados_auxiliares!$A$18:$B$21,2,FALSE)*VLOOKUP(A26,dados_auxiliares!$B$34:$G$57,5,FALSE)*0.04-fluxo_calor!$B$13)+(VLOOKUP(fluxo_calor!C$28,dados_auxiliares!$A$24:$D$31,4,FALSE)*(B26-fluxo_calor!$B$13)+VLOOKUP(fluxo_calor!C$28,dados_auxiliares!$A$24:$D$31,3,FALSE)*VLOOKUP(A26,dados_auxiliares!$B$34:$G$57,5,FALSE))*fluxo_calor!B$28</f>
        <v>471.12800000000004</v>
      </c>
      <c r="I26" s="66">
        <f>+(VLOOKUP(fluxo_calor!C$28,dados_auxiliares!$A$24:$D$31,4,FALSE)*(B26-fluxo_calor!$B$13)+VLOOKUP(fluxo_calor!C$28,dados_auxiliares!$A$24:$D$31,3,FALSE)*VLOOKUP(A26,dados_auxiliares!$B$34:$G$57,5,FALSE))*fluxo_calor!B$28</f>
        <v>284.96800000000002</v>
      </c>
      <c r="J26" s="68">
        <f>fluxo_calor!$B$22*fluxo_calor!$D$22*(B26+VLOOKUP(fluxo_calor!$C$22,dados_auxiliares!$A$18:$B$21,2,FALSE)*VLOOKUP(A26,dados_auxiliares!$B$34:$G$57,6,FALSE)*0.04-fluxo_calor!$B$13)+(VLOOKUP(fluxo_calor!C$29,dados_auxiliares!$A$24:$D$31,4,FALSE)*(B26-fluxo_calor!$B$13)+VLOOKUP(fluxo_calor!C$29,dados_auxiliares!$A$24:$D$31,3,FALSE)*VLOOKUP(A26,dados_auxiliares!$B$34:$G$57,6,FALSE))*fluxo_calor!B$29</f>
        <v>1236.3679999999999</v>
      </c>
      <c r="K26" s="66">
        <f>+(VLOOKUP(fluxo_calor!C$29,dados_auxiliares!$A$24:$D$31,4,FALSE)*(B26-fluxo_calor!$B$13)+VLOOKUP(fluxo_calor!C$29,dados_auxiliares!$A$24:$D$31,3,FALSE)*VLOOKUP(A26,dados_auxiliares!$B$34:$G$57,6,FALSE))*fluxo_calor!B$29</f>
        <v>613.64800000000002</v>
      </c>
      <c r="L26" s="46"/>
    </row>
    <row r="27" spans="1:12">
      <c r="A27" s="51">
        <v>0.79166666666666696</v>
      </c>
      <c r="B27" s="52">
        <f>fluxo_calor!B$11-fluxo_calor!B$12*VLOOKUP(A27,dados_auxiliares!B78:C101,2,FALSE)</f>
        <v>27.28</v>
      </c>
      <c r="C27" s="64">
        <f>fluxo_calor!$B$18*fluxo_calor!$D$18*(B27+VLOOKUP(fluxo_calor!$C$18,dados_auxiliares!$A$18:$B$21,2,FALSE)*VLOOKUP(A27,dados_auxiliares!$B$34:$G$57,2,FALSE)*0.04-4-fluxo_calor!$B$13)</f>
        <v>-71.999999999999886</v>
      </c>
      <c r="D27" s="65">
        <f>fluxo_calor!$B$19*fluxo_calor!$D$19*(B27+VLOOKUP(fluxo_calor!$C$19,dados_auxiliares!$A$18:$B$21,2,FALSE)*VLOOKUP(A27,dados_auxiliares!$B$34:$G$57,3,FALSE)*0.04-fluxo_calor!$B$13)+(VLOOKUP(fluxo_calor!C$26,dados_auxiliares!$A$24:$D$31,4,FALSE)*(B27-fluxo_calor!$B$13)+VLOOKUP(fluxo_calor!C$26,dados_auxiliares!$A$24:$D$31,3,FALSE)*VLOOKUP(A27,dados_auxiliares!$B$34:$G$57,3,FALSE))*fluxo_calor!B$26</f>
        <v>122.67200000000005</v>
      </c>
      <c r="E27" s="66">
        <f>+(VLOOKUP(fluxo_calor!C$26,dados_auxiliares!$A$24:$D$31,4,FALSE)*(B27-fluxo_calor!$B$13)+VLOOKUP(fluxo_calor!C$26,dados_auxiliares!$A$24:$D$31,3,FALSE)*VLOOKUP(A27,dados_auxiliares!$B$34:$G$57,3,FALSE))*fluxo_calor!B$26</f>
        <v>37.392000000000017</v>
      </c>
      <c r="F27" s="65">
        <f>fluxo_calor!$B$20*fluxo_calor!$D$20*(B27+VLOOKUP(fluxo_calor!$C$20,dados_auxiliares!$A$18:$B$21,2,FALSE)*VLOOKUP(A27,dados_auxiliares!$B$34:$G$57,4,FALSE)*0.04-fluxo_calor!$B$13)+(VLOOKUP(fluxo_calor!C$27,dados_auxiliares!$A$24:$D$31,4,FALSE)*(B27-fluxo_calor!$B$13)+VLOOKUP(fluxo_calor!C$27,dados_auxiliares!$A$24:$D$31,3,FALSE)*VLOOKUP(A27,dados_auxiliares!$B$34:$G$57,4,FALSE))*fluxo_calor!B$27</f>
        <v>221.07200000000009</v>
      </c>
      <c r="G27" s="67">
        <f>+(VLOOKUP(fluxo_calor!C$27,dados_auxiliares!$A$24:$D$31,4,FALSE)*(B27-fluxo_calor!$B$13)+VLOOKUP(fluxo_calor!C$27,dados_auxiliares!$A$24:$D$31,3,FALSE)*VLOOKUP(A27,dados_auxiliares!$B$34:$G$57,4,FALSE))*fluxo_calor!B$27</f>
        <v>37.392000000000017</v>
      </c>
      <c r="H27" s="68">
        <f>fluxo_calor!$B$21*fluxo_calor!$D$21*(B27+VLOOKUP(fluxo_calor!$C$21,dados_auxiliares!$A$18:$B$21,2,FALSE)*VLOOKUP(A27,dados_auxiliares!$B$34:$G$57,5,FALSE)*0.04-fluxo_calor!$B$13)+(VLOOKUP(fluxo_calor!C$28,dados_auxiliares!$A$24:$D$31,4,FALSE)*(B27-fluxo_calor!$B$13)+VLOOKUP(fluxo_calor!C$28,dados_auxiliares!$A$24:$D$31,3,FALSE)*VLOOKUP(A27,dados_auxiliares!$B$34:$G$57,5,FALSE))*fluxo_calor!B$28</f>
        <v>122.67200000000005</v>
      </c>
      <c r="I27" s="66">
        <f>+(VLOOKUP(fluxo_calor!C$28,dados_auxiliares!$A$24:$D$31,4,FALSE)*(B27-fluxo_calor!$B$13)+VLOOKUP(fluxo_calor!C$28,dados_auxiliares!$A$24:$D$31,3,FALSE)*VLOOKUP(A27,dados_auxiliares!$B$34:$G$57,5,FALSE))*fluxo_calor!B$28</f>
        <v>37.392000000000017</v>
      </c>
      <c r="J27" s="68">
        <f>fluxo_calor!$B$22*fluxo_calor!$D$22*(B27+VLOOKUP(fluxo_calor!$C$22,dados_auxiliares!$A$18:$B$21,2,FALSE)*VLOOKUP(A27,dados_auxiliares!$B$34:$G$57,6,FALSE)*0.04-fluxo_calor!$B$13)+(VLOOKUP(fluxo_calor!C$29,dados_auxiliares!$A$24:$D$31,4,FALSE)*(B27-fluxo_calor!$B$13)+VLOOKUP(fluxo_calor!C$29,dados_auxiliares!$A$24:$D$31,3,FALSE)*VLOOKUP(A27,dados_auxiliares!$B$34:$G$57,6,FALSE))*fluxo_calor!B$29</f>
        <v>221.07200000000009</v>
      </c>
      <c r="K27" s="66">
        <f>+(VLOOKUP(fluxo_calor!C$29,dados_auxiliares!$A$24:$D$31,4,FALSE)*(B27-fluxo_calor!$B$13)+VLOOKUP(fluxo_calor!C$29,dados_auxiliares!$A$24:$D$31,3,FALSE)*VLOOKUP(A27,dados_auxiliares!$B$34:$G$57,6,FALSE))*fluxo_calor!B$29</f>
        <v>37.392000000000017</v>
      </c>
      <c r="L27" s="46"/>
    </row>
    <row r="28" spans="1:12">
      <c r="A28" s="51">
        <v>0.83333333333333404</v>
      </c>
      <c r="B28" s="52">
        <f>fluxo_calor!B$11-fluxo_calor!B$12*VLOOKUP(A28,dados_auxiliares!B79:C102,2,FALSE)</f>
        <v>26.240000000000002</v>
      </c>
      <c r="C28" s="64">
        <f>fluxo_calor!$B$18*fluxo_calor!$D$18*(B28+VLOOKUP(fluxo_calor!$C$18,dados_auxiliares!$A$18:$B$21,2,FALSE)*VLOOKUP(A28,dados_auxiliares!$B$34:$G$57,2,FALSE)*0.04-4-fluxo_calor!$B$13)</f>
        <v>-175.9999999999998</v>
      </c>
      <c r="D28" s="65">
        <f>fluxo_calor!$B$19*fluxo_calor!$D$19*(B28+VLOOKUP(fluxo_calor!$C$19,dados_auxiliares!$A$18:$B$21,2,FALSE)*VLOOKUP(A28,dados_auxiliares!$B$34:$G$57,3,FALSE)*0.04-fluxo_calor!$B$13)+(VLOOKUP(fluxo_calor!C$26,dados_auxiliares!$A$24:$D$31,4,FALSE)*(B28-fluxo_calor!$B$13)+VLOOKUP(fluxo_calor!C$26,dados_auxiliares!$A$24:$D$31,3,FALSE)*VLOOKUP(A28,dados_auxiliares!$B$34:$G$57,3,FALSE))*fluxo_calor!B$26</f>
        <v>83.776000000000067</v>
      </c>
      <c r="E28" s="66">
        <f>+(VLOOKUP(fluxo_calor!C$26,dados_auxiliares!$A$24:$D$31,4,FALSE)*(B28-fluxo_calor!$B$13)+VLOOKUP(fluxo_calor!C$26,dados_auxiliares!$A$24:$D$31,3,FALSE)*VLOOKUP(A28,dados_auxiliares!$B$34:$G$57,3,FALSE))*fluxo_calor!B$26</f>
        <v>25.536000000000023</v>
      </c>
      <c r="F28" s="65">
        <f>fluxo_calor!$B$20*fluxo_calor!$D$20*(B28+VLOOKUP(fluxo_calor!$C$20,dados_auxiliares!$A$18:$B$21,2,FALSE)*VLOOKUP(A28,dados_auxiliares!$B$34:$G$57,4,FALSE)*0.04-fluxo_calor!$B$13)+(VLOOKUP(fluxo_calor!C$27,dados_auxiliares!$A$24:$D$31,4,FALSE)*(B28-fluxo_calor!$B$13)+VLOOKUP(fluxo_calor!C$27,dados_auxiliares!$A$24:$D$31,3,FALSE)*VLOOKUP(A28,dados_auxiliares!$B$34:$G$57,4,FALSE))*fluxo_calor!B$27</f>
        <v>150.97600000000014</v>
      </c>
      <c r="G28" s="67">
        <f>+(VLOOKUP(fluxo_calor!C$27,dados_auxiliares!$A$24:$D$31,4,FALSE)*(B28-fluxo_calor!$B$13)+VLOOKUP(fluxo_calor!C$27,dados_auxiliares!$A$24:$D$31,3,FALSE)*VLOOKUP(A28,dados_auxiliares!$B$34:$G$57,4,FALSE))*fluxo_calor!B$27</f>
        <v>25.536000000000023</v>
      </c>
      <c r="H28" s="68">
        <f>fluxo_calor!$B$21*fluxo_calor!$D$21*(B28+VLOOKUP(fluxo_calor!$C$21,dados_auxiliares!$A$18:$B$21,2,FALSE)*VLOOKUP(A28,dados_auxiliares!$B$34:$G$57,5,FALSE)*0.04-fluxo_calor!$B$13)+(VLOOKUP(fluxo_calor!C$28,dados_auxiliares!$A$24:$D$31,4,FALSE)*(B28-fluxo_calor!$B$13)+VLOOKUP(fluxo_calor!C$28,dados_auxiliares!$A$24:$D$31,3,FALSE)*VLOOKUP(A28,dados_auxiliares!$B$34:$G$57,5,FALSE))*fluxo_calor!B$28</f>
        <v>83.776000000000067</v>
      </c>
      <c r="I28" s="66">
        <f>+(VLOOKUP(fluxo_calor!C$28,dados_auxiliares!$A$24:$D$31,4,FALSE)*(B28-fluxo_calor!$B$13)+VLOOKUP(fluxo_calor!C$28,dados_auxiliares!$A$24:$D$31,3,FALSE)*VLOOKUP(A28,dados_auxiliares!$B$34:$G$57,5,FALSE))*fluxo_calor!B$28</f>
        <v>25.536000000000023</v>
      </c>
      <c r="J28" s="68">
        <f>fluxo_calor!$B$22*fluxo_calor!$D$22*(B28+VLOOKUP(fluxo_calor!$C$22,dados_auxiliares!$A$18:$B$21,2,FALSE)*VLOOKUP(A28,dados_auxiliares!$B$34:$G$57,6,FALSE)*0.04-fluxo_calor!$B$13)+(VLOOKUP(fluxo_calor!C$29,dados_auxiliares!$A$24:$D$31,4,FALSE)*(B28-fluxo_calor!$B$13)+VLOOKUP(fluxo_calor!C$29,dados_auxiliares!$A$24:$D$31,3,FALSE)*VLOOKUP(A28,dados_auxiliares!$B$34:$G$57,6,FALSE))*fluxo_calor!B$29</f>
        <v>150.97600000000014</v>
      </c>
      <c r="K28" s="66">
        <f>+(VLOOKUP(fluxo_calor!C$29,dados_auxiliares!$A$24:$D$31,4,FALSE)*(B28-fluxo_calor!$B$13)+VLOOKUP(fluxo_calor!C$29,dados_auxiliares!$A$24:$D$31,3,FALSE)*VLOOKUP(A28,dados_auxiliares!$B$34:$G$57,6,FALSE))*fluxo_calor!B$29</f>
        <v>25.536000000000023</v>
      </c>
      <c r="L28" s="46"/>
    </row>
    <row r="29" spans="1:12">
      <c r="A29" s="51">
        <v>0.875</v>
      </c>
      <c r="B29" s="52">
        <f>fluxo_calor!B$11-fluxo_calor!B$12*VLOOKUP(A29,dados_auxiliares!B80:C103,2,FALSE)</f>
        <v>25.36</v>
      </c>
      <c r="C29" s="64">
        <f>fluxo_calor!$B$18*fluxo_calor!$D$18*(B29+VLOOKUP(fluxo_calor!$C$18,dados_auxiliares!$A$18:$B$21,2,FALSE)*VLOOKUP(A29,dados_auxiliares!$B$34:$G$57,2,FALSE)*0.04-4-fluxo_calor!$B$13)</f>
        <v>-264.00000000000006</v>
      </c>
      <c r="D29" s="65">
        <f>fluxo_calor!$B$19*fluxo_calor!$D$19*(B29+VLOOKUP(fluxo_calor!$C$19,dados_auxiliares!$A$18:$B$21,2,FALSE)*VLOOKUP(A29,dados_auxiliares!$B$34:$G$57,3,FALSE)*0.04-fluxo_calor!$B$13)+(VLOOKUP(fluxo_calor!C$26,dados_auxiliares!$A$24:$D$31,4,FALSE)*(B29-fluxo_calor!$B$13)+VLOOKUP(fluxo_calor!C$26,dados_auxiliares!$A$24:$D$31,3,FALSE)*VLOOKUP(A29,dados_auxiliares!$B$34:$G$57,3,FALSE))*fluxo_calor!B$26</f>
        <v>50.863999999999976</v>
      </c>
      <c r="E29" s="66">
        <f>+(VLOOKUP(fluxo_calor!C$26,dados_auxiliares!$A$24:$D$31,4,FALSE)*(B29-fluxo_calor!$B$13)+VLOOKUP(fluxo_calor!C$26,dados_auxiliares!$A$24:$D$31,3,FALSE)*VLOOKUP(A29,dados_auxiliares!$B$34:$G$57,3,FALSE))*fluxo_calor!B$26</f>
        <v>15.503999999999994</v>
      </c>
      <c r="F29" s="65">
        <f>fluxo_calor!$B$20*fluxo_calor!$D$20*(B29+VLOOKUP(fluxo_calor!$C$20,dados_auxiliares!$A$18:$B$21,2,FALSE)*VLOOKUP(A29,dados_auxiliares!$B$34:$G$57,4,FALSE)*0.04-fluxo_calor!$B$13)+(VLOOKUP(fluxo_calor!C$27,dados_auxiliares!$A$24:$D$31,4,FALSE)*(B29-fluxo_calor!$B$13)+VLOOKUP(fluxo_calor!C$27,dados_auxiliares!$A$24:$D$31,3,FALSE)*VLOOKUP(A29,dados_auxiliares!$B$34:$G$57,4,FALSE))*fluxo_calor!B$27</f>
        <v>91.663999999999959</v>
      </c>
      <c r="G29" s="67">
        <f>+(VLOOKUP(fluxo_calor!C$27,dados_auxiliares!$A$24:$D$31,4,FALSE)*(B29-fluxo_calor!$B$13)+VLOOKUP(fluxo_calor!C$27,dados_auxiliares!$A$24:$D$31,3,FALSE)*VLOOKUP(A29,dados_auxiliares!$B$34:$G$57,4,FALSE))*fluxo_calor!B$27</f>
        <v>15.503999999999994</v>
      </c>
      <c r="H29" s="68">
        <f>fluxo_calor!$B$21*fluxo_calor!$D$21*(B29+VLOOKUP(fluxo_calor!$C$21,dados_auxiliares!$A$18:$B$21,2,FALSE)*VLOOKUP(A29,dados_auxiliares!$B$34:$G$57,5,FALSE)*0.04-fluxo_calor!$B$13)+(VLOOKUP(fluxo_calor!C$28,dados_auxiliares!$A$24:$D$31,4,FALSE)*(B29-fluxo_calor!$B$13)+VLOOKUP(fluxo_calor!C$28,dados_auxiliares!$A$24:$D$31,3,FALSE)*VLOOKUP(A29,dados_auxiliares!$B$34:$G$57,5,FALSE))*fluxo_calor!B$28</f>
        <v>50.863999999999976</v>
      </c>
      <c r="I29" s="66">
        <f>+(VLOOKUP(fluxo_calor!C$28,dados_auxiliares!$A$24:$D$31,4,FALSE)*(B29-fluxo_calor!$B$13)+VLOOKUP(fluxo_calor!C$28,dados_auxiliares!$A$24:$D$31,3,FALSE)*VLOOKUP(A29,dados_auxiliares!$B$34:$G$57,5,FALSE))*fluxo_calor!B$28</f>
        <v>15.503999999999994</v>
      </c>
      <c r="J29" s="68">
        <f>fluxo_calor!$B$22*fluxo_calor!$D$22*(B29+VLOOKUP(fluxo_calor!$C$22,dados_auxiliares!$A$18:$B$21,2,FALSE)*VLOOKUP(A29,dados_auxiliares!$B$34:$G$57,6,FALSE)*0.04-fluxo_calor!$B$13)+(VLOOKUP(fluxo_calor!C$29,dados_auxiliares!$A$24:$D$31,4,FALSE)*(B29-fluxo_calor!$B$13)+VLOOKUP(fluxo_calor!C$29,dados_auxiliares!$A$24:$D$31,3,FALSE)*VLOOKUP(A29,dados_auxiliares!$B$34:$G$57,6,FALSE))*fluxo_calor!B$29</f>
        <v>91.663999999999959</v>
      </c>
      <c r="K29" s="66">
        <f>+(VLOOKUP(fluxo_calor!C$29,dados_auxiliares!$A$24:$D$31,4,FALSE)*(B29-fluxo_calor!$B$13)+VLOOKUP(fluxo_calor!C$29,dados_auxiliares!$A$24:$D$31,3,FALSE)*VLOOKUP(A29,dados_auxiliares!$B$34:$G$57,6,FALSE))*fluxo_calor!B$29</f>
        <v>15.503999999999994</v>
      </c>
      <c r="L29" s="46"/>
    </row>
    <row r="30" spans="1:12">
      <c r="A30" s="51">
        <v>0.91666666666666696</v>
      </c>
      <c r="B30" s="52">
        <f>fluxo_calor!B$11-fluxo_calor!B$12*VLOOKUP(A30,dados_auxiliares!B81:C104,2,FALSE)</f>
        <v>24.56</v>
      </c>
      <c r="C30" s="64">
        <f>fluxo_calor!$B$18*fluxo_calor!$D$18*(B30+VLOOKUP(fluxo_calor!$C$18,dados_auxiliares!$A$18:$B$21,2,FALSE)*VLOOKUP(A30,dados_auxiliares!$B$34:$G$57,2,FALSE)*0.04-4-fluxo_calor!$B$13)</f>
        <v>-344.00000000000011</v>
      </c>
      <c r="D30" s="65">
        <f>fluxo_calor!$B$19*fluxo_calor!$D$19*(B30+VLOOKUP(fluxo_calor!$C$19,dados_auxiliares!$A$18:$B$21,2,FALSE)*VLOOKUP(A30,dados_auxiliares!$B$34:$G$57,3,FALSE)*0.04-fluxo_calor!$B$13)+(VLOOKUP(fluxo_calor!C$26,dados_auxiliares!$A$24:$D$31,4,FALSE)*(B30-fluxo_calor!$B$13)+VLOOKUP(fluxo_calor!C$26,dados_auxiliares!$A$24:$D$31,3,FALSE)*VLOOKUP(A30,dados_auxiliares!$B$34:$G$57,3,FALSE))*fluxo_calor!B$26</f>
        <v>20.943999999999953</v>
      </c>
      <c r="E30" s="66">
        <f>+(VLOOKUP(fluxo_calor!C$26,dados_auxiliares!$A$24:$D$31,4,FALSE)*(B30-fluxo_calor!$B$13)+VLOOKUP(fluxo_calor!C$26,dados_auxiliares!$A$24:$D$31,3,FALSE)*VLOOKUP(A30,dados_auxiliares!$B$34:$G$57,3,FALSE))*fluxo_calor!B$26</f>
        <v>6.3839999999999852</v>
      </c>
      <c r="F30" s="65">
        <f>fluxo_calor!$B$20*fluxo_calor!$D$20*(B30+VLOOKUP(fluxo_calor!$C$20,dados_auxiliares!$A$18:$B$21,2,FALSE)*VLOOKUP(A30,dados_auxiliares!$B$34:$G$57,4,FALSE)*0.04-fluxo_calor!$B$13)+(VLOOKUP(fluxo_calor!C$27,dados_auxiliares!$A$24:$D$31,4,FALSE)*(B30-fluxo_calor!$B$13)+VLOOKUP(fluxo_calor!C$27,dados_auxiliares!$A$24:$D$31,3,FALSE)*VLOOKUP(A30,dados_auxiliares!$B$34:$G$57,4,FALSE))*fluxo_calor!B$27</f>
        <v>37.743999999999915</v>
      </c>
      <c r="G30" s="67">
        <f>+(VLOOKUP(fluxo_calor!C$27,dados_auxiliares!$A$24:$D$31,4,FALSE)*(B30-fluxo_calor!$B$13)+VLOOKUP(fluxo_calor!C$27,dados_auxiliares!$A$24:$D$31,3,FALSE)*VLOOKUP(A30,dados_auxiliares!$B$34:$G$57,4,FALSE))*fluxo_calor!B$27</f>
        <v>6.3839999999999852</v>
      </c>
      <c r="H30" s="68">
        <f>fluxo_calor!$B$21*fluxo_calor!$D$21*(B30+VLOOKUP(fluxo_calor!$C$21,dados_auxiliares!$A$18:$B$21,2,FALSE)*VLOOKUP(A30,dados_auxiliares!$B$34:$G$57,5,FALSE)*0.04-fluxo_calor!$B$13)+(VLOOKUP(fluxo_calor!C$28,dados_auxiliares!$A$24:$D$31,4,FALSE)*(B30-fluxo_calor!$B$13)+VLOOKUP(fluxo_calor!C$28,dados_auxiliares!$A$24:$D$31,3,FALSE)*VLOOKUP(A30,dados_auxiliares!$B$34:$G$57,5,FALSE))*fluxo_calor!B$28</f>
        <v>20.943999999999953</v>
      </c>
      <c r="I30" s="66">
        <f>+(VLOOKUP(fluxo_calor!C$28,dados_auxiliares!$A$24:$D$31,4,FALSE)*(B30-fluxo_calor!$B$13)+VLOOKUP(fluxo_calor!C$28,dados_auxiliares!$A$24:$D$31,3,FALSE)*VLOOKUP(A30,dados_auxiliares!$B$34:$G$57,5,FALSE))*fluxo_calor!B$28</f>
        <v>6.3839999999999852</v>
      </c>
      <c r="J30" s="68">
        <f>fluxo_calor!$B$22*fluxo_calor!$D$22*(B30+VLOOKUP(fluxo_calor!$C$22,dados_auxiliares!$A$18:$B$21,2,FALSE)*VLOOKUP(A30,dados_auxiliares!$B$34:$G$57,6,FALSE)*0.04-fluxo_calor!$B$13)+(VLOOKUP(fluxo_calor!C$29,dados_auxiliares!$A$24:$D$31,4,FALSE)*(B30-fluxo_calor!$B$13)+VLOOKUP(fluxo_calor!C$29,dados_auxiliares!$A$24:$D$31,3,FALSE)*VLOOKUP(A30,dados_auxiliares!$B$34:$G$57,6,FALSE))*fluxo_calor!B$29</f>
        <v>37.743999999999915</v>
      </c>
      <c r="K30" s="66">
        <f>+(VLOOKUP(fluxo_calor!C$29,dados_auxiliares!$A$24:$D$31,4,FALSE)*(B30-fluxo_calor!$B$13)+VLOOKUP(fluxo_calor!C$29,dados_auxiliares!$A$24:$D$31,3,FALSE)*VLOOKUP(A30,dados_auxiliares!$B$34:$G$57,6,FALSE))*fluxo_calor!B$29</f>
        <v>6.3839999999999852</v>
      </c>
      <c r="L30" s="46"/>
    </row>
    <row r="31" spans="1:12">
      <c r="A31" s="51">
        <v>0.95833333333333404</v>
      </c>
      <c r="B31" s="52">
        <f>fluxo_calor!B$11-fluxo_calor!B$12*VLOOKUP(A31,dados_auxiliares!B82:C105,2,FALSE)</f>
        <v>23.92</v>
      </c>
      <c r="C31" s="64">
        <f>fluxo_calor!$B$18*fluxo_calor!$D$18*(B31+VLOOKUP(fluxo_calor!$C$18,dados_auxiliares!$A$18:$B$21,2,FALSE)*VLOOKUP(A31,dados_auxiliares!$B$34:$G$57,2,FALSE)*0.04-4-fluxo_calor!$B$13)</f>
        <v>-407.99999999999983</v>
      </c>
      <c r="D31" s="65">
        <f>fluxo_calor!$B$19*fluxo_calor!$D$19*(B31+VLOOKUP(fluxo_calor!$C$19,dados_auxiliares!$A$18:$B$21,2,FALSE)*VLOOKUP(A31,dados_auxiliares!$B$34:$G$57,3,FALSE)*0.04-fluxo_calor!$B$13)+(VLOOKUP(fluxo_calor!C$26,dados_auxiliares!$A$24:$D$31,4,FALSE)*(B31-fluxo_calor!$B$13)+VLOOKUP(fluxo_calor!C$26,dados_auxiliares!$A$24:$D$31,3,FALSE)*VLOOKUP(A31,dados_auxiliares!$B$34:$G$57,3,FALSE))*fluxo_calor!B$26</f>
        <v>-2.991999999999936</v>
      </c>
      <c r="E31" s="66">
        <f>+(VLOOKUP(fluxo_calor!C$26,dados_auxiliares!$A$24:$D$31,4,FALSE)*(B31-fluxo_calor!$B$13)+VLOOKUP(fluxo_calor!C$26,dados_auxiliares!$A$24:$D$31,3,FALSE)*VLOOKUP(A31,dados_auxiliares!$B$34:$G$57,3,FALSE))*fluxo_calor!B$26</f>
        <v>-0.9119999999999806</v>
      </c>
      <c r="F31" s="65">
        <f>fluxo_calor!$B$20*fluxo_calor!$D$20*(B31+VLOOKUP(fluxo_calor!$C$20,dados_auxiliares!$A$18:$B$21,2,FALSE)*VLOOKUP(A31,dados_auxiliares!$B$34:$G$57,4,FALSE)*0.04-fluxo_calor!$B$13)+(VLOOKUP(fluxo_calor!C$27,dados_auxiliares!$A$24:$D$31,4,FALSE)*(B31-fluxo_calor!$B$13)+VLOOKUP(fluxo_calor!C$27,dados_auxiliares!$A$24:$D$31,3,FALSE)*VLOOKUP(A31,dados_auxiliares!$B$34:$G$57,4,FALSE))*fluxo_calor!B$27</f>
        <v>-5.3919999999998849</v>
      </c>
      <c r="G31" s="67">
        <f>+(VLOOKUP(fluxo_calor!C$27,dados_auxiliares!$A$24:$D$31,4,FALSE)*(B31-fluxo_calor!$B$13)+VLOOKUP(fluxo_calor!C$27,dados_auxiliares!$A$24:$D$31,3,FALSE)*VLOOKUP(A31,dados_auxiliares!$B$34:$G$57,4,FALSE))*fluxo_calor!B$27</f>
        <v>-0.9119999999999806</v>
      </c>
      <c r="H31" s="68">
        <f>fluxo_calor!$B$21*fluxo_calor!$D$21*(B31+VLOOKUP(fluxo_calor!$C$21,dados_auxiliares!$A$18:$B$21,2,FALSE)*VLOOKUP(A31,dados_auxiliares!$B$34:$G$57,5,FALSE)*0.04-fluxo_calor!$B$13)+(VLOOKUP(fluxo_calor!C$28,dados_auxiliares!$A$24:$D$31,4,FALSE)*(B31-fluxo_calor!$B$13)+VLOOKUP(fluxo_calor!C$28,dados_auxiliares!$A$24:$D$31,3,FALSE)*VLOOKUP(A31,dados_auxiliares!$B$34:$G$57,5,FALSE))*fluxo_calor!B$28</f>
        <v>-2.991999999999936</v>
      </c>
      <c r="I31" s="66">
        <f>+(VLOOKUP(fluxo_calor!C$28,dados_auxiliares!$A$24:$D$31,4,FALSE)*(B31-fluxo_calor!$B$13)+VLOOKUP(fluxo_calor!C$28,dados_auxiliares!$A$24:$D$31,3,FALSE)*VLOOKUP(A31,dados_auxiliares!$B$34:$G$57,5,FALSE))*fluxo_calor!B$28</f>
        <v>-0.9119999999999806</v>
      </c>
      <c r="J31" s="68">
        <f>fluxo_calor!$B$22*fluxo_calor!$D$22*(B31+VLOOKUP(fluxo_calor!$C$22,dados_auxiliares!$A$18:$B$21,2,FALSE)*VLOOKUP(A31,dados_auxiliares!$B$34:$G$57,6,FALSE)*0.04-fluxo_calor!$B$13)+(VLOOKUP(fluxo_calor!C$29,dados_auxiliares!$A$24:$D$31,4,FALSE)*(B31-fluxo_calor!$B$13)+VLOOKUP(fluxo_calor!C$29,dados_auxiliares!$A$24:$D$31,3,FALSE)*VLOOKUP(A31,dados_auxiliares!$B$34:$G$57,6,FALSE))*fluxo_calor!B$29</f>
        <v>-5.3919999999998849</v>
      </c>
      <c r="K31" s="66">
        <f>+(VLOOKUP(fluxo_calor!C$29,dados_auxiliares!$A$24:$D$31,4,FALSE)*(B31-fluxo_calor!$B$13)+VLOOKUP(fluxo_calor!C$29,dados_auxiliares!$A$24:$D$31,3,FALSE)*VLOOKUP(A31,dados_auxiliares!$B$34:$G$57,6,FALSE))*fluxo_calor!B$29</f>
        <v>-0.9119999999999806</v>
      </c>
      <c r="L31" s="46"/>
    </row>
    <row r="32" spans="1:12" ht="13.5" thickBot="1">
      <c r="A32" s="41">
        <v>1</v>
      </c>
      <c r="B32" s="42">
        <f>fluxo_calor!B$11-fluxo_calor!B$12*VLOOKUP(A32,dados_auxiliares!B83:C106,2,FALSE)</f>
        <v>23.44</v>
      </c>
      <c r="C32" s="69">
        <f>fluxo_calor!$B$18*fluxo_calor!$D$18*(B32+VLOOKUP(fluxo_calor!$C$18,dados_auxiliares!$A$18:$B$21,2,FALSE)*VLOOKUP(A32,dados_auxiliares!$B$34:$G$57,2,FALSE)*0.04-4-fluxo_calor!$B$13)</f>
        <v>-455.99999999999989</v>
      </c>
      <c r="D32" s="70">
        <f>fluxo_calor!$B$19*fluxo_calor!$D$19*(B32+VLOOKUP(fluxo_calor!$C$19,dados_auxiliares!$A$18:$B$21,2,FALSE)*VLOOKUP(A32,dados_auxiliares!$B$34:$G$57,3,FALSE)*0.04-fluxo_calor!$B$13)+(VLOOKUP(fluxo_calor!C$26,dados_auxiliares!$A$24:$D$31,4,FALSE)*(B32-fluxo_calor!$B$13)+VLOOKUP(fluxo_calor!C$26,dados_auxiliares!$A$24:$D$31,3,FALSE)*VLOOKUP(A32,dados_auxiliares!$B$34:$G$57,3,FALSE))*fluxo_calor!B$26</f>
        <v>-20.943999999999953</v>
      </c>
      <c r="E32" s="71">
        <f>+(VLOOKUP(fluxo_calor!C$26,dados_auxiliares!$A$24:$D$31,4,FALSE)*(B32-fluxo_calor!$B$13)+VLOOKUP(fluxo_calor!C$26,dados_auxiliares!$A$24:$D$31,3,FALSE)*VLOOKUP(A32,dados_auxiliares!$B$34:$G$57,3,FALSE))*fluxo_calor!B$26</f>
        <v>-6.3839999999999852</v>
      </c>
      <c r="F32" s="70">
        <f>fluxo_calor!$B$20*fluxo_calor!$D$20*(B32+VLOOKUP(fluxo_calor!$C$20,dados_auxiliares!$A$18:$B$21,2,FALSE)*VLOOKUP(A32,dados_auxiliares!$B$34:$G$57,4,FALSE)*0.04-fluxo_calor!$B$13)+(VLOOKUP(fluxo_calor!C$27,dados_auxiliares!$A$24:$D$31,4,FALSE)*(B32-fluxo_calor!$B$13)+VLOOKUP(fluxo_calor!C$27,dados_auxiliares!$A$24:$D$31,3,FALSE)*VLOOKUP(A32,dados_auxiliares!$B$34:$G$57,4,FALSE))*fluxo_calor!B$27</f>
        <v>-37.743999999999915</v>
      </c>
      <c r="G32" s="72">
        <f>+(VLOOKUP(fluxo_calor!C$27,dados_auxiliares!$A$24:$D$31,4,FALSE)*(B32-fluxo_calor!$B$13)+VLOOKUP(fluxo_calor!C$27,dados_auxiliares!$A$24:$D$31,3,FALSE)*VLOOKUP(A32,dados_auxiliares!$B$34:$G$57,4,FALSE))*fluxo_calor!B$27</f>
        <v>-6.3839999999999852</v>
      </c>
      <c r="H32" s="73">
        <f>fluxo_calor!$B$21*fluxo_calor!$D$21*(B32+VLOOKUP(fluxo_calor!$C$21,dados_auxiliares!$A$18:$B$21,2,FALSE)*VLOOKUP(A32,dados_auxiliares!$B$34:$G$57,5,FALSE)*0.04-fluxo_calor!$B$13)+(VLOOKUP(fluxo_calor!C$28,dados_auxiliares!$A$24:$D$31,4,FALSE)*(B32-fluxo_calor!$B$13)+VLOOKUP(fluxo_calor!C$28,dados_auxiliares!$A$24:$D$31,3,FALSE)*VLOOKUP(A32,dados_auxiliares!$B$34:$G$57,5,FALSE))*fluxo_calor!B$28</f>
        <v>-20.943999999999953</v>
      </c>
      <c r="I32" s="71">
        <f>+(VLOOKUP(fluxo_calor!C$28,dados_auxiliares!$A$24:$D$31,4,FALSE)*(B32-fluxo_calor!$B$13)+VLOOKUP(fluxo_calor!C$28,dados_auxiliares!$A$24:$D$31,3,FALSE)*VLOOKUP(A32,dados_auxiliares!$B$34:$G$57,5,FALSE))*fluxo_calor!B$28</f>
        <v>-6.3839999999999852</v>
      </c>
      <c r="J32" s="73">
        <f>fluxo_calor!$B$22*fluxo_calor!$D$22*(B32+VLOOKUP(fluxo_calor!$C$22,dados_auxiliares!$A$18:$B$21,2,FALSE)*VLOOKUP(A32,dados_auxiliares!$B$34:$G$57,6,FALSE)*0.04-fluxo_calor!$B$13)+(VLOOKUP(fluxo_calor!C$29,dados_auxiliares!$A$24:$D$31,4,FALSE)*(B32-fluxo_calor!$B$13)+VLOOKUP(fluxo_calor!C$29,dados_auxiliares!$A$24:$D$31,3,FALSE)*VLOOKUP(A32,dados_auxiliares!$B$34:$G$57,6,FALSE))*fluxo_calor!B$29</f>
        <v>-37.743999999999915</v>
      </c>
      <c r="K32" s="71">
        <f>+(VLOOKUP(fluxo_calor!C$29,dados_auxiliares!$A$24:$D$31,4,FALSE)*(B32-fluxo_calor!$B$13)+VLOOKUP(fluxo_calor!C$29,dados_auxiliares!$A$24:$D$31,3,FALSE)*VLOOKUP(A32,dados_auxiliares!$B$34:$G$57,6,FALSE))*fluxo_calor!B$29</f>
        <v>-6.3839999999999852</v>
      </c>
      <c r="L32" s="46"/>
    </row>
    <row r="33" spans="1:1">
      <c r="A33" s="10"/>
    </row>
  </sheetData>
  <sheetProtection sheet="1" objects="1" scenarios="1"/>
  <customSheetViews>
    <customSheetView guid="{140AB78D-3863-467F-9660-B6D433C26E11}" showRuler="0" topLeftCell="A31">
      <selection activeCell="A33" sqref="A33"/>
      <pageMargins left="0.78740157499999996" right="0.78740157499999996" top="0.984251969" bottom="0.984251969" header="0.49212598499999999" footer="0.49212598499999999"/>
      <pageSetup paperSize="9" orientation="portrait" r:id="rId1"/>
      <headerFooter alignWithMargins="0"/>
    </customSheetView>
  </customSheetViews>
  <mergeCells count="7">
    <mergeCell ref="J7:K7"/>
    <mergeCell ref="A7:A8"/>
    <mergeCell ref="B7:B8"/>
    <mergeCell ref="C7:C8"/>
    <mergeCell ref="D7:E7"/>
    <mergeCell ref="F7:G7"/>
    <mergeCell ref="H7:I7"/>
  </mergeCells>
  <phoneticPr fontId="9" type="noConversion"/>
  <conditionalFormatting sqref="L8:IV32 D8:K8">
    <cfRule type="colorScale" priority="13">
      <colorScale>
        <cfvo type="min" val="0"/>
        <cfvo type="percentile" val="50"/>
        <cfvo type="max" val="0"/>
        <color rgb="FF63BE7B"/>
        <color rgb="FFFFFFAF"/>
        <color rgb="FFF8696B"/>
      </colorScale>
    </cfRule>
  </conditionalFormatting>
  <conditionalFormatting sqref="C9:K32">
    <cfRule type="dataBar" priority="1">
      <dataBar>
        <cfvo type="min" val="0"/>
        <cfvo type="max" val="0"/>
        <color rgb="FFADFF5B"/>
      </dataBar>
    </cfRule>
  </conditionalFormatting>
  <hyperlinks>
    <hyperlink ref="D5" location="dados_horários!B58" display="Visualizar gráfico"/>
  </hyperlinks>
  <pageMargins left="0.78740157499999996" right="0.78740157499999996" top="0.984251969" bottom="0.984251969" header="0.49212598499999999" footer="0.49212598499999999"/>
  <pageSetup paperSize="9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workbookViewId="0">
      <selection activeCell="D5" sqref="D5"/>
    </sheetView>
  </sheetViews>
  <sheetFormatPr defaultRowHeight="12.75"/>
  <cols>
    <col min="1" max="1" width="3" bestFit="1" customWidth="1"/>
    <col min="2" max="2" width="23" customWidth="1"/>
    <col min="3" max="3" width="9.28515625" bestFit="1" customWidth="1"/>
    <col min="4" max="5" width="5.5703125" bestFit="1" customWidth="1"/>
    <col min="6" max="6" width="4" bestFit="1" customWidth="1"/>
    <col min="7" max="7" width="6" bestFit="1" customWidth="1"/>
    <col min="8" max="10" width="5" bestFit="1" customWidth="1"/>
    <col min="11" max="15" width="4.5703125" bestFit="1" customWidth="1"/>
  </cols>
  <sheetData>
    <row r="1" spans="1:7">
      <c r="A1" t="s">
        <v>36</v>
      </c>
    </row>
    <row r="2" spans="1:7">
      <c r="A2" s="2" t="s">
        <v>34</v>
      </c>
      <c r="B2" t="s">
        <v>13</v>
      </c>
      <c r="C2" t="s">
        <v>18</v>
      </c>
      <c r="D2" t="s">
        <v>16</v>
      </c>
      <c r="E2" t="s">
        <v>15</v>
      </c>
      <c r="F2" t="s">
        <v>14</v>
      </c>
      <c r="G2" t="s">
        <v>17</v>
      </c>
    </row>
    <row r="3" spans="1:7">
      <c r="A3" s="2">
        <v>1</v>
      </c>
      <c r="B3" t="s">
        <v>19</v>
      </c>
      <c r="C3">
        <v>114</v>
      </c>
      <c r="D3">
        <v>25</v>
      </c>
      <c r="E3">
        <v>340</v>
      </c>
      <c r="F3">
        <v>142</v>
      </c>
      <c r="G3">
        <v>25</v>
      </c>
    </row>
    <row r="4" spans="1:7">
      <c r="A4" s="2">
        <v>2</v>
      </c>
      <c r="B4" t="s">
        <v>20</v>
      </c>
      <c r="C4">
        <v>345</v>
      </c>
      <c r="D4">
        <v>43</v>
      </c>
      <c r="E4">
        <v>633</v>
      </c>
      <c r="F4">
        <v>188</v>
      </c>
      <c r="G4">
        <v>43</v>
      </c>
    </row>
    <row r="5" spans="1:7">
      <c r="A5" s="2">
        <v>3</v>
      </c>
      <c r="B5" t="s">
        <v>21</v>
      </c>
      <c r="C5">
        <v>588</v>
      </c>
      <c r="D5">
        <v>50</v>
      </c>
      <c r="E5">
        <v>715</v>
      </c>
      <c r="F5">
        <v>143</v>
      </c>
      <c r="G5">
        <v>50</v>
      </c>
    </row>
    <row r="6" spans="1:7">
      <c r="A6" s="2">
        <v>4</v>
      </c>
      <c r="B6" t="s">
        <v>22</v>
      </c>
      <c r="C6">
        <v>804</v>
      </c>
      <c r="D6">
        <v>58</v>
      </c>
      <c r="E6">
        <v>667</v>
      </c>
      <c r="F6">
        <v>75</v>
      </c>
      <c r="G6">
        <v>58</v>
      </c>
    </row>
    <row r="7" spans="1:7">
      <c r="A7" s="2">
        <v>5</v>
      </c>
      <c r="B7" t="s">
        <v>23</v>
      </c>
      <c r="C7">
        <v>985</v>
      </c>
      <c r="D7">
        <v>117</v>
      </c>
      <c r="E7">
        <v>517</v>
      </c>
      <c r="F7">
        <v>63</v>
      </c>
      <c r="G7">
        <v>63</v>
      </c>
    </row>
    <row r="8" spans="1:7">
      <c r="A8" s="2">
        <v>6</v>
      </c>
      <c r="B8" t="s">
        <v>24</v>
      </c>
      <c r="C8">
        <v>1099</v>
      </c>
      <c r="D8">
        <v>170</v>
      </c>
      <c r="E8">
        <v>309</v>
      </c>
      <c r="F8">
        <v>68</v>
      </c>
      <c r="G8">
        <v>68</v>
      </c>
    </row>
    <row r="9" spans="1:7">
      <c r="A9" s="2">
        <v>7</v>
      </c>
      <c r="B9" t="s">
        <v>25</v>
      </c>
      <c r="C9">
        <v>1134</v>
      </c>
      <c r="D9">
        <v>179</v>
      </c>
      <c r="E9">
        <v>65</v>
      </c>
      <c r="F9">
        <v>65</v>
      </c>
      <c r="G9">
        <v>65</v>
      </c>
    </row>
    <row r="10" spans="1:7">
      <c r="A10" s="2">
        <v>8</v>
      </c>
      <c r="B10" t="s">
        <v>26</v>
      </c>
      <c r="C10">
        <v>1099</v>
      </c>
      <c r="D10">
        <v>170</v>
      </c>
      <c r="E10">
        <v>68</v>
      </c>
      <c r="F10">
        <v>68</v>
      </c>
      <c r="G10">
        <v>309</v>
      </c>
    </row>
    <row r="11" spans="1:7">
      <c r="A11" s="2">
        <v>9</v>
      </c>
      <c r="B11" t="s">
        <v>27</v>
      </c>
      <c r="C11">
        <v>985</v>
      </c>
      <c r="D11">
        <v>117</v>
      </c>
      <c r="E11">
        <v>63</v>
      </c>
      <c r="F11">
        <v>63</v>
      </c>
      <c r="G11">
        <v>517</v>
      </c>
    </row>
    <row r="12" spans="1:7">
      <c r="A12" s="2">
        <v>10</v>
      </c>
      <c r="B12" t="s">
        <v>28</v>
      </c>
      <c r="C12">
        <v>804</v>
      </c>
      <c r="D12">
        <v>58</v>
      </c>
      <c r="E12">
        <v>58</v>
      </c>
      <c r="F12">
        <v>78</v>
      </c>
      <c r="G12">
        <v>667</v>
      </c>
    </row>
    <row r="13" spans="1:7">
      <c r="A13" s="2">
        <v>11</v>
      </c>
      <c r="B13" t="s">
        <v>29</v>
      </c>
      <c r="C13">
        <v>588</v>
      </c>
      <c r="D13">
        <v>50</v>
      </c>
      <c r="E13">
        <v>50</v>
      </c>
      <c r="F13">
        <v>143</v>
      </c>
      <c r="G13">
        <v>715</v>
      </c>
    </row>
    <row r="14" spans="1:7">
      <c r="A14" s="2">
        <v>12</v>
      </c>
      <c r="B14" t="s">
        <v>30</v>
      </c>
      <c r="C14">
        <v>345</v>
      </c>
      <c r="D14">
        <v>43</v>
      </c>
      <c r="E14">
        <v>43</v>
      </c>
      <c r="F14">
        <v>188</v>
      </c>
      <c r="G14">
        <v>633</v>
      </c>
    </row>
    <row r="15" spans="1:7">
      <c r="A15" s="2">
        <v>13</v>
      </c>
      <c r="B15" t="s">
        <v>31</v>
      </c>
      <c r="C15">
        <v>114</v>
      </c>
      <c r="D15">
        <v>25</v>
      </c>
      <c r="E15">
        <v>25</v>
      </c>
      <c r="F15">
        <v>142</v>
      </c>
      <c r="G15">
        <v>340</v>
      </c>
    </row>
    <row r="17" spans="1:4">
      <c r="A17" t="s">
        <v>35</v>
      </c>
    </row>
    <row r="18" spans="1:4">
      <c r="A18" s="2">
        <v>1</v>
      </c>
      <c r="B18" s="1">
        <v>0.3</v>
      </c>
    </row>
    <row r="19" spans="1:4">
      <c r="A19" s="2">
        <v>2</v>
      </c>
      <c r="B19" s="1">
        <v>0.5</v>
      </c>
    </row>
    <row r="20" spans="1:4">
      <c r="A20" s="2">
        <v>3</v>
      </c>
      <c r="B20" s="1">
        <v>0.7</v>
      </c>
    </row>
    <row r="21" spans="1:4">
      <c r="A21" s="2">
        <v>4</v>
      </c>
      <c r="B21" s="1">
        <v>0.9</v>
      </c>
    </row>
    <row r="23" spans="1:4">
      <c r="A23" t="s">
        <v>46</v>
      </c>
      <c r="C23" t="s">
        <v>45</v>
      </c>
      <c r="D23" t="s">
        <v>57</v>
      </c>
    </row>
    <row r="24" spans="1:4">
      <c r="A24" s="2">
        <v>1</v>
      </c>
      <c r="B24" t="s">
        <v>48</v>
      </c>
      <c r="C24" s="1">
        <v>0.87</v>
      </c>
      <c r="D24" s="1">
        <v>5.79</v>
      </c>
    </row>
    <row r="25" spans="1:4">
      <c r="A25" s="2">
        <v>2</v>
      </c>
      <c r="B25" t="s">
        <v>54</v>
      </c>
      <c r="C25" s="1">
        <v>0.83</v>
      </c>
      <c r="D25" s="1">
        <v>5.7</v>
      </c>
    </row>
    <row r="26" spans="1:4">
      <c r="A26" s="2">
        <v>3</v>
      </c>
      <c r="B26" t="s">
        <v>55</v>
      </c>
      <c r="C26" s="1">
        <v>0.75</v>
      </c>
      <c r="D26" s="1">
        <v>5.79</v>
      </c>
    </row>
    <row r="27" spans="1:4">
      <c r="A27" s="2">
        <v>4</v>
      </c>
      <c r="B27" t="s">
        <v>49</v>
      </c>
      <c r="C27" s="1">
        <v>0.72</v>
      </c>
      <c r="D27" s="1">
        <v>5.79</v>
      </c>
    </row>
    <row r="28" spans="1:4">
      <c r="A28" s="2">
        <v>5</v>
      </c>
      <c r="B28" t="s">
        <v>50</v>
      </c>
      <c r="C28" s="1">
        <v>0.6</v>
      </c>
      <c r="D28" s="1">
        <v>5.7</v>
      </c>
    </row>
    <row r="29" spans="1:4">
      <c r="A29" s="2">
        <v>6</v>
      </c>
      <c r="B29" t="s">
        <v>51</v>
      </c>
      <c r="C29" s="1">
        <v>0.72</v>
      </c>
      <c r="D29" s="1">
        <v>5.79</v>
      </c>
    </row>
    <row r="30" spans="1:4">
      <c r="A30" s="2">
        <v>7</v>
      </c>
      <c r="B30" t="s">
        <v>52</v>
      </c>
      <c r="C30" s="1">
        <v>0.6</v>
      </c>
      <c r="D30" s="1">
        <v>5.7</v>
      </c>
    </row>
    <row r="31" spans="1:4">
      <c r="A31" s="2">
        <v>8</v>
      </c>
      <c r="B31" t="s">
        <v>53</v>
      </c>
      <c r="C31" s="1">
        <v>0.3</v>
      </c>
      <c r="D31" s="1">
        <v>5.79</v>
      </c>
    </row>
    <row r="33" spans="1:7">
      <c r="A33" s="2" t="s">
        <v>34</v>
      </c>
      <c r="B33" t="s">
        <v>33</v>
      </c>
      <c r="C33" t="s">
        <v>18</v>
      </c>
      <c r="D33" t="s">
        <v>16</v>
      </c>
      <c r="E33" t="s">
        <v>15</v>
      </c>
      <c r="F33" t="s">
        <v>14</v>
      </c>
      <c r="G33" t="s">
        <v>17</v>
      </c>
    </row>
    <row r="34" spans="1:7">
      <c r="A34" s="2">
        <v>1</v>
      </c>
      <c r="B34" s="23">
        <v>4.1666666666666664E-2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>
      <c r="A35" s="2">
        <v>2</v>
      </c>
      <c r="B35" s="23">
        <v>8.3333333333333329E-2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>
      <c r="A36" s="2">
        <v>3</v>
      </c>
      <c r="B36" s="23">
        <v>0.125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>
      <c r="A37" s="2">
        <v>4</v>
      </c>
      <c r="B37" s="23">
        <v>0.16666666666666699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</row>
    <row r="38" spans="1:7">
      <c r="A38" s="2">
        <v>5</v>
      </c>
      <c r="B38" s="23">
        <v>0.20833333333333401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</row>
    <row r="39" spans="1:7">
      <c r="A39" s="2">
        <v>6</v>
      </c>
      <c r="B39" s="23">
        <v>0.25</v>
      </c>
      <c r="C39">
        <v>114</v>
      </c>
      <c r="D39">
        <v>25</v>
      </c>
      <c r="E39">
        <v>340</v>
      </c>
      <c r="F39">
        <v>142</v>
      </c>
      <c r="G39">
        <v>25</v>
      </c>
    </row>
    <row r="40" spans="1:7">
      <c r="A40" s="2">
        <v>7</v>
      </c>
      <c r="B40" s="23">
        <v>0.29166666666666702</v>
      </c>
      <c r="C40">
        <v>345</v>
      </c>
      <c r="D40">
        <v>43</v>
      </c>
      <c r="E40">
        <v>633</v>
      </c>
      <c r="F40">
        <v>188</v>
      </c>
      <c r="G40">
        <v>43</v>
      </c>
    </row>
    <row r="41" spans="1:7">
      <c r="A41" s="2">
        <v>8</v>
      </c>
      <c r="B41" s="23">
        <v>0.33333333333333398</v>
      </c>
      <c r="C41">
        <v>588</v>
      </c>
      <c r="D41">
        <v>50</v>
      </c>
      <c r="E41">
        <v>715</v>
      </c>
      <c r="F41">
        <v>143</v>
      </c>
      <c r="G41">
        <v>50</v>
      </c>
    </row>
    <row r="42" spans="1:7">
      <c r="A42" s="2">
        <v>9</v>
      </c>
      <c r="B42" s="23">
        <v>0.375</v>
      </c>
      <c r="C42">
        <v>804</v>
      </c>
      <c r="D42">
        <v>58</v>
      </c>
      <c r="E42">
        <v>667</v>
      </c>
      <c r="F42">
        <v>75</v>
      </c>
      <c r="G42">
        <v>58</v>
      </c>
    </row>
    <row r="43" spans="1:7">
      <c r="A43" s="2">
        <v>10</v>
      </c>
      <c r="B43" s="23">
        <v>0.41666666666666702</v>
      </c>
      <c r="C43">
        <v>985</v>
      </c>
      <c r="D43">
        <v>117</v>
      </c>
      <c r="E43">
        <v>517</v>
      </c>
      <c r="F43">
        <v>63</v>
      </c>
      <c r="G43">
        <v>63</v>
      </c>
    </row>
    <row r="44" spans="1:7">
      <c r="A44" s="2">
        <v>11</v>
      </c>
      <c r="B44" s="23">
        <v>0.45833333333333398</v>
      </c>
      <c r="C44">
        <v>1099</v>
      </c>
      <c r="D44">
        <v>170</v>
      </c>
      <c r="E44">
        <v>309</v>
      </c>
      <c r="F44">
        <v>68</v>
      </c>
      <c r="G44">
        <v>68</v>
      </c>
    </row>
    <row r="45" spans="1:7">
      <c r="A45" s="2">
        <v>12</v>
      </c>
      <c r="B45" s="23">
        <v>0.5</v>
      </c>
      <c r="C45">
        <v>1134</v>
      </c>
      <c r="D45">
        <v>179</v>
      </c>
      <c r="E45">
        <v>65</v>
      </c>
      <c r="F45">
        <v>65</v>
      </c>
      <c r="G45">
        <v>65</v>
      </c>
    </row>
    <row r="46" spans="1:7">
      <c r="A46" s="2">
        <v>13</v>
      </c>
      <c r="B46" s="23">
        <v>0.54166666666666696</v>
      </c>
      <c r="C46">
        <v>1099</v>
      </c>
      <c r="D46">
        <v>170</v>
      </c>
      <c r="E46">
        <v>68</v>
      </c>
      <c r="F46">
        <v>68</v>
      </c>
      <c r="G46">
        <v>309</v>
      </c>
    </row>
    <row r="47" spans="1:7">
      <c r="A47" s="2">
        <v>14</v>
      </c>
      <c r="B47" s="23">
        <v>0.58333333333333404</v>
      </c>
      <c r="C47">
        <v>985</v>
      </c>
      <c r="D47">
        <v>117</v>
      </c>
      <c r="E47">
        <v>63</v>
      </c>
      <c r="F47">
        <v>63</v>
      </c>
      <c r="G47">
        <v>517</v>
      </c>
    </row>
    <row r="48" spans="1:7">
      <c r="A48" s="2">
        <v>15</v>
      </c>
      <c r="B48" s="23">
        <v>0.625</v>
      </c>
      <c r="C48">
        <v>804</v>
      </c>
      <c r="D48">
        <v>58</v>
      </c>
      <c r="E48">
        <v>58</v>
      </c>
      <c r="F48">
        <v>78</v>
      </c>
      <c r="G48">
        <v>667</v>
      </c>
    </row>
    <row r="49" spans="1:7">
      <c r="A49" s="2">
        <v>16</v>
      </c>
      <c r="B49" s="23">
        <v>0.66666666666666696</v>
      </c>
      <c r="C49">
        <v>588</v>
      </c>
      <c r="D49">
        <v>50</v>
      </c>
      <c r="E49">
        <v>50</v>
      </c>
      <c r="F49">
        <v>143</v>
      </c>
      <c r="G49">
        <v>715</v>
      </c>
    </row>
    <row r="50" spans="1:7">
      <c r="A50" s="2">
        <v>17</v>
      </c>
      <c r="B50" s="23">
        <v>0.70833333333333404</v>
      </c>
      <c r="C50">
        <v>345</v>
      </c>
      <c r="D50">
        <v>43</v>
      </c>
      <c r="E50">
        <v>43</v>
      </c>
      <c r="F50">
        <v>188</v>
      </c>
      <c r="G50">
        <v>633</v>
      </c>
    </row>
    <row r="51" spans="1:7">
      <c r="A51" s="2">
        <v>18</v>
      </c>
      <c r="B51" s="23">
        <v>0.75</v>
      </c>
      <c r="C51">
        <v>114</v>
      </c>
      <c r="D51">
        <v>25</v>
      </c>
      <c r="E51">
        <v>25</v>
      </c>
      <c r="F51">
        <v>142</v>
      </c>
      <c r="G51">
        <v>340</v>
      </c>
    </row>
    <row r="52" spans="1:7">
      <c r="A52" s="2">
        <v>19</v>
      </c>
      <c r="B52" s="23">
        <v>0.79166666666666696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</row>
    <row r="53" spans="1:7">
      <c r="A53" s="2">
        <v>20</v>
      </c>
      <c r="B53" s="23">
        <v>0.83333333333333404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</row>
    <row r="54" spans="1:7">
      <c r="A54" s="2">
        <v>21</v>
      </c>
      <c r="B54" s="23">
        <v>0.875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</row>
    <row r="55" spans="1:7">
      <c r="A55" s="2">
        <v>22</v>
      </c>
      <c r="B55" s="23">
        <v>0.91666666666666696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</row>
    <row r="56" spans="1:7">
      <c r="A56" s="2">
        <v>23</v>
      </c>
      <c r="B56" s="23">
        <v>0.95833333333333404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</row>
    <row r="57" spans="1:7">
      <c r="A57" s="2">
        <v>24</v>
      </c>
      <c r="B57" s="23">
        <v>1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</row>
    <row r="59" spans="1:7">
      <c r="A59" s="2" t="s">
        <v>34</v>
      </c>
      <c r="B59" t="s">
        <v>33</v>
      </c>
      <c r="C59" t="s">
        <v>66</v>
      </c>
    </row>
    <row r="60" spans="1:7">
      <c r="A60" s="2">
        <v>1</v>
      </c>
      <c r="B60" s="23">
        <v>4.1666666666666664E-2</v>
      </c>
      <c r="C60" s="1">
        <v>0.87</v>
      </c>
      <c r="D60" s="24"/>
    </row>
    <row r="61" spans="1:7">
      <c r="A61" s="2">
        <v>2</v>
      </c>
      <c r="B61" s="23">
        <v>8.3333333333333329E-2</v>
      </c>
      <c r="C61" s="1">
        <v>0.92</v>
      </c>
    </row>
    <row r="62" spans="1:7">
      <c r="A62" s="2">
        <v>3</v>
      </c>
      <c r="B62" s="23">
        <v>0.125</v>
      </c>
      <c r="C62" s="1">
        <v>0.96</v>
      </c>
    </row>
    <row r="63" spans="1:7">
      <c r="A63" s="2">
        <v>4</v>
      </c>
      <c r="B63" s="23">
        <v>0.16666666666666699</v>
      </c>
      <c r="C63" s="1">
        <v>0.99</v>
      </c>
    </row>
    <row r="64" spans="1:7">
      <c r="A64" s="2">
        <v>5</v>
      </c>
      <c r="B64" s="23">
        <v>0.20833333333333401</v>
      </c>
      <c r="C64" s="1">
        <v>1</v>
      </c>
    </row>
    <row r="65" spans="1:3">
      <c r="A65" s="2">
        <v>6</v>
      </c>
      <c r="B65" s="23">
        <v>0.25</v>
      </c>
      <c r="C65" s="1">
        <v>0.98</v>
      </c>
    </row>
    <row r="66" spans="1:3">
      <c r="A66" s="2">
        <v>7</v>
      </c>
      <c r="B66" s="23">
        <v>0.29166666666666702</v>
      </c>
      <c r="C66" s="1">
        <v>0.93</v>
      </c>
    </row>
    <row r="67" spans="1:3">
      <c r="A67" s="2">
        <v>8</v>
      </c>
      <c r="B67" s="23">
        <v>0.33333333333333398</v>
      </c>
      <c r="C67" s="1">
        <v>0.84</v>
      </c>
    </row>
    <row r="68" spans="1:3">
      <c r="A68" s="2">
        <v>9</v>
      </c>
      <c r="B68" s="23">
        <v>0.375</v>
      </c>
      <c r="C68" s="1">
        <v>0.71</v>
      </c>
    </row>
    <row r="69" spans="1:3">
      <c r="A69" s="2">
        <v>10</v>
      </c>
      <c r="B69" s="23">
        <v>0.41666666666666702</v>
      </c>
      <c r="C69" s="1">
        <v>0.56000000000000005</v>
      </c>
    </row>
    <row r="70" spans="1:3">
      <c r="A70" s="2">
        <v>11</v>
      </c>
      <c r="B70" s="23">
        <v>0.45833333333333398</v>
      </c>
      <c r="C70" s="1">
        <v>0.39</v>
      </c>
    </row>
    <row r="71" spans="1:3">
      <c r="A71" s="2">
        <v>12</v>
      </c>
      <c r="B71" s="23">
        <v>0.5</v>
      </c>
      <c r="C71" s="1">
        <v>0.23</v>
      </c>
    </row>
    <row r="72" spans="1:3">
      <c r="A72" s="2">
        <v>13</v>
      </c>
      <c r="B72" s="23">
        <v>0.54166666666666696</v>
      </c>
      <c r="C72" s="1">
        <v>0.11</v>
      </c>
    </row>
    <row r="73" spans="1:3">
      <c r="A73" s="2">
        <v>14</v>
      </c>
      <c r="B73" s="23">
        <v>0.58333333333333404</v>
      </c>
      <c r="C73" s="1">
        <v>0.03</v>
      </c>
    </row>
    <row r="74" spans="1:3">
      <c r="A74" s="2">
        <v>15</v>
      </c>
      <c r="B74" s="23">
        <v>0.625</v>
      </c>
      <c r="C74" s="1">
        <v>0</v>
      </c>
    </row>
    <row r="75" spans="1:3">
      <c r="A75" s="2">
        <v>16</v>
      </c>
      <c r="B75" s="23">
        <v>0.66666666666666696</v>
      </c>
      <c r="C75" s="1">
        <v>0.03</v>
      </c>
    </row>
    <row r="76" spans="1:3">
      <c r="A76" s="2">
        <v>17</v>
      </c>
      <c r="B76" s="23">
        <v>0.70833333333333404</v>
      </c>
      <c r="C76" s="1">
        <v>0.1</v>
      </c>
    </row>
    <row r="77" spans="1:3">
      <c r="A77" s="2">
        <v>18</v>
      </c>
      <c r="B77" s="23">
        <v>0.75</v>
      </c>
      <c r="C77" s="1">
        <v>0.21</v>
      </c>
    </row>
    <row r="78" spans="1:3">
      <c r="A78" s="2">
        <v>19</v>
      </c>
      <c r="B78" s="23">
        <v>0.79166666666666696</v>
      </c>
      <c r="C78" s="1">
        <v>0.34</v>
      </c>
    </row>
    <row r="79" spans="1:3">
      <c r="A79" s="2">
        <v>20</v>
      </c>
      <c r="B79" s="23">
        <v>0.83333333333333404</v>
      </c>
      <c r="C79" s="1">
        <v>0.47</v>
      </c>
    </row>
    <row r="80" spans="1:3">
      <c r="A80" s="2">
        <v>21</v>
      </c>
      <c r="B80" s="23">
        <v>0.875</v>
      </c>
      <c r="C80" s="1">
        <v>0.57999999999999996</v>
      </c>
    </row>
    <row r="81" spans="1:3">
      <c r="A81" s="2">
        <v>22</v>
      </c>
      <c r="B81" s="23">
        <v>0.91666666666666696</v>
      </c>
      <c r="C81" s="1">
        <v>0.68</v>
      </c>
    </row>
    <row r="82" spans="1:3">
      <c r="A82" s="2">
        <v>23</v>
      </c>
      <c r="B82" s="23">
        <v>0.95833333333333404</v>
      </c>
      <c r="C82" s="1">
        <v>0.76</v>
      </c>
    </row>
    <row r="83" spans="1:3">
      <c r="A83" s="2">
        <v>24</v>
      </c>
      <c r="B83" s="23">
        <v>1</v>
      </c>
      <c r="C83" s="1">
        <v>0.82</v>
      </c>
    </row>
  </sheetData>
  <sheetProtection sheet="1" objects="1" scenarios="1"/>
  <customSheetViews>
    <customSheetView guid="{140AB78D-3863-467F-9660-B6D433C26E11}" showRuler="0" topLeftCell="A23">
      <selection activeCell="A33" sqref="A33"/>
      <pageMargins left="0.78740157499999996" right="0.78740157499999996" top="0.984251969" bottom="0.984251969" header="0.49212598499999999" footer="0.49212598499999999"/>
      <headerFooter alignWithMargins="0"/>
    </customSheetView>
  </customSheetView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fluxo_calor</vt:lpstr>
      <vt:lpstr>dados_horários</vt:lpstr>
      <vt:lpstr>dados_auxiliares</vt:lpstr>
      <vt:lpstr>grafico</vt:lpstr>
    </vt:vector>
  </TitlesOfParts>
  <Company>UFSC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LabEEE</dc:creator>
  <cp:lastModifiedBy>Alejandro</cp:lastModifiedBy>
  <dcterms:created xsi:type="dcterms:W3CDTF">2003-11-24T11:45:07Z</dcterms:created>
  <dcterms:modified xsi:type="dcterms:W3CDTF">2011-06-06T20:32:33Z</dcterms:modified>
</cp:coreProperties>
</file>